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18A24779-6851-4D2D-AB48-2A6E38862C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IGOO" sheetId="2" r:id="rId1"/>
    <sheet name="INDICADORES" sheetId="1" r:id="rId2"/>
    <sheet name="graficos" sheetId="3" r:id="rId3"/>
    <sheet name="INSTRUCTIVO" sheetId="4" r:id="rId4"/>
    <sheet name="MACROMEDICION" sheetId="5" r:id="rId5"/>
  </sheets>
  <externalReferences>
    <externalReference r:id="rId6"/>
  </externalReferences>
  <definedNames>
    <definedName name="Admin.">'[1]Gastos de Admin.'!$H$234</definedName>
    <definedName name="_xlnm.Extract">#REF!</definedName>
    <definedName name="Comerc.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_xlnm.Print_Titles" localSheetId="0">PIGOO!$9:$10</definedName>
    <definedName name="Tot.Gastos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9" i="2" l="1"/>
  <c r="N200" i="2"/>
  <c r="N201" i="2"/>
  <c r="N202" i="2"/>
  <c r="N198" i="2"/>
  <c r="N141" i="2"/>
  <c r="N140" i="2"/>
  <c r="N139" i="2"/>
  <c r="N136" i="2"/>
  <c r="N135" i="2"/>
  <c r="N134" i="2"/>
  <c r="N133" i="2"/>
  <c r="N132" i="2"/>
  <c r="N117" i="2"/>
  <c r="N116" i="2"/>
  <c r="N115" i="2"/>
  <c r="N114" i="2"/>
  <c r="N102" i="2"/>
  <c r="N66" i="2"/>
  <c r="M142" i="2"/>
  <c r="N142" i="2" s="1"/>
  <c r="M103" i="2"/>
  <c r="M101" i="2"/>
  <c r="M100" i="2"/>
  <c r="M52" i="2"/>
  <c r="N138" i="2" l="1"/>
  <c r="C14" i="5"/>
  <c r="L142" i="2"/>
  <c r="L103" i="2"/>
  <c r="L101" i="2"/>
  <c r="L100" i="2"/>
  <c r="C13" i="5"/>
  <c r="C12" i="5"/>
  <c r="L52" i="2"/>
  <c r="K142" i="2" l="1"/>
  <c r="J142" i="2"/>
  <c r="K101" i="2"/>
  <c r="K100" i="2"/>
  <c r="J103" i="2"/>
  <c r="J101" i="2"/>
  <c r="J100" i="2"/>
  <c r="K52" i="2" l="1"/>
  <c r="J52" i="2"/>
  <c r="H168" i="2"/>
  <c r="I142" i="2" l="1"/>
  <c r="I101" i="2"/>
  <c r="I100" i="2"/>
  <c r="H142" i="2" l="1"/>
  <c r="H104" i="2"/>
  <c r="H101" i="2"/>
  <c r="H100" i="2"/>
  <c r="G152" i="2" l="1"/>
  <c r="G142" i="2"/>
  <c r="G103" i="2"/>
  <c r="G101" i="2"/>
  <c r="G100" i="2"/>
  <c r="G52" i="2" l="1"/>
  <c r="F168" i="2" l="1"/>
  <c r="F152" i="2"/>
  <c r="F142" i="2"/>
  <c r="F103" i="2"/>
  <c r="F101" i="2"/>
  <c r="F100" i="2"/>
  <c r="F52" i="2" l="1"/>
  <c r="N52" i="2" s="1"/>
  <c r="D152" i="2" l="1"/>
  <c r="E152" i="2"/>
  <c r="D142" i="2"/>
  <c r="D101" i="2"/>
  <c r="D100" i="2"/>
  <c r="E142" i="2" l="1"/>
  <c r="E101" i="2"/>
  <c r="E100" i="2"/>
  <c r="C152" i="2" l="1"/>
  <c r="C142" i="2"/>
  <c r="F131" i="2"/>
  <c r="G131" i="2"/>
  <c r="H131" i="2"/>
  <c r="I131" i="2"/>
  <c r="J131" i="2"/>
  <c r="K131" i="2"/>
  <c r="L131" i="2"/>
  <c r="M131" i="2"/>
  <c r="C131" i="2"/>
  <c r="D131" i="2"/>
  <c r="E131" i="2"/>
  <c r="B131" i="2"/>
  <c r="C103" i="2"/>
  <c r="N103" i="2" s="1"/>
  <c r="C101" i="2"/>
  <c r="C100" i="2"/>
  <c r="B142" i="2" l="1"/>
  <c r="B104" i="2"/>
  <c r="B101" i="2"/>
  <c r="B100" i="2"/>
  <c r="M51" i="2" l="1"/>
  <c r="H41" i="2" l="1"/>
  <c r="C57" i="2" l="1"/>
  <c r="D57" i="2"/>
  <c r="E57" i="2"/>
  <c r="F57" i="2"/>
  <c r="G57" i="2"/>
  <c r="H57" i="2"/>
  <c r="I57" i="2"/>
  <c r="J57" i="2"/>
  <c r="K57" i="2"/>
  <c r="L57" i="2"/>
  <c r="M57" i="2"/>
  <c r="B57" i="2"/>
  <c r="N97" i="2" l="1"/>
  <c r="N96" i="2"/>
  <c r="N95" i="2"/>
  <c r="N94" i="2"/>
  <c r="N93" i="2"/>
  <c r="N48" i="2"/>
  <c r="N47" i="2"/>
  <c r="N46" i="2"/>
  <c r="N45" i="2"/>
  <c r="N44" i="2"/>
  <c r="N43" i="2"/>
  <c r="N42" i="2"/>
  <c r="N57" i="2" l="1"/>
  <c r="N101" i="2"/>
  <c r="N100" i="2"/>
  <c r="E104" i="1" l="1"/>
  <c r="G65" i="2" l="1"/>
  <c r="H65" i="2"/>
  <c r="I65" i="2"/>
  <c r="J65" i="2"/>
  <c r="K65" i="2"/>
  <c r="L65" i="2"/>
  <c r="M65" i="2"/>
  <c r="C186" i="2"/>
  <c r="C185" i="2" s="1"/>
  <c r="D186" i="2"/>
  <c r="D185" i="2" s="1"/>
  <c r="E186" i="2"/>
  <c r="E185" i="2" s="1"/>
  <c r="F186" i="2"/>
  <c r="F185" i="2" s="1"/>
  <c r="G186" i="2"/>
  <c r="G185" i="2" s="1"/>
  <c r="H186" i="2"/>
  <c r="H185" i="2" s="1"/>
  <c r="I186" i="2"/>
  <c r="I185" i="2" s="1"/>
  <c r="J186" i="2"/>
  <c r="J185" i="2" s="1"/>
  <c r="K186" i="2"/>
  <c r="K185" i="2" s="1"/>
  <c r="L186" i="2"/>
  <c r="L185" i="2" s="1"/>
  <c r="M186" i="2"/>
  <c r="M185" i="2" s="1"/>
  <c r="C173" i="2"/>
  <c r="D173" i="2"/>
  <c r="E173" i="2"/>
  <c r="F173" i="2"/>
  <c r="G173" i="2"/>
  <c r="H173" i="2"/>
  <c r="I173" i="2"/>
  <c r="J173" i="2"/>
  <c r="K173" i="2"/>
  <c r="L173" i="2"/>
  <c r="M173" i="2"/>
  <c r="B152" i="2"/>
  <c r="C138" i="2"/>
  <c r="D138" i="2"/>
  <c r="E138" i="2"/>
  <c r="F138" i="2"/>
  <c r="G138" i="2"/>
  <c r="H138" i="2"/>
  <c r="I138" i="2"/>
  <c r="J138" i="2"/>
  <c r="K138" i="2"/>
  <c r="L138" i="2"/>
  <c r="M138" i="2"/>
  <c r="M130" i="2"/>
  <c r="C118" i="2"/>
  <c r="D118" i="2"/>
  <c r="E118" i="2"/>
  <c r="F118" i="2"/>
  <c r="G118" i="2"/>
  <c r="H118" i="2"/>
  <c r="I118" i="2"/>
  <c r="J118" i="2"/>
  <c r="K118" i="2"/>
  <c r="L118" i="2"/>
  <c r="M118" i="2"/>
  <c r="C112" i="2"/>
  <c r="D112" i="2"/>
  <c r="E112" i="2"/>
  <c r="F112" i="2"/>
  <c r="G112" i="2"/>
  <c r="H112" i="2"/>
  <c r="I112" i="2"/>
  <c r="J112" i="2"/>
  <c r="K112" i="2"/>
  <c r="L112" i="2"/>
  <c r="M112" i="2"/>
  <c r="D99" i="2"/>
  <c r="E99" i="2"/>
  <c r="F99" i="2"/>
  <c r="G99" i="2"/>
  <c r="H99" i="2"/>
  <c r="I99" i="2"/>
  <c r="J99" i="2"/>
  <c r="K99" i="2"/>
  <c r="L99" i="2"/>
  <c r="M99" i="2"/>
  <c r="B99" i="2"/>
  <c r="D92" i="2"/>
  <c r="E92" i="2"/>
  <c r="F92" i="2"/>
  <c r="G92" i="2"/>
  <c r="H92" i="2"/>
  <c r="I92" i="2"/>
  <c r="J92" i="2"/>
  <c r="K92" i="2"/>
  <c r="L92" i="2"/>
  <c r="M92" i="2"/>
  <c r="B92" i="2"/>
  <c r="M111" i="2" l="1"/>
  <c r="E111" i="2"/>
  <c r="E79" i="2"/>
  <c r="F79" i="2"/>
  <c r="G79" i="2"/>
  <c r="H79" i="2"/>
  <c r="I79" i="2"/>
  <c r="J79" i="2"/>
  <c r="K79" i="2"/>
  <c r="L79" i="2"/>
  <c r="M79" i="2"/>
  <c r="E71" i="2"/>
  <c r="F71" i="2"/>
  <c r="G71" i="2"/>
  <c r="H71" i="2"/>
  <c r="I71" i="2"/>
  <c r="J71" i="2"/>
  <c r="K71" i="2"/>
  <c r="L71" i="2"/>
  <c r="M71" i="2"/>
  <c r="G51" i="2"/>
  <c r="C25" i="2"/>
  <c r="C22" i="2" s="1"/>
  <c r="D25" i="2"/>
  <c r="D22" i="2" s="1"/>
  <c r="E25" i="2"/>
  <c r="E22" i="2" s="1"/>
  <c r="F25" i="2"/>
  <c r="F22" i="2" s="1"/>
  <c r="G25" i="2"/>
  <c r="G22" i="2" s="1"/>
  <c r="H25" i="2"/>
  <c r="H22" i="2" s="1"/>
  <c r="I25" i="2"/>
  <c r="I22" i="2" s="1"/>
  <c r="J25" i="2"/>
  <c r="J22" i="2" s="1"/>
  <c r="K25" i="2"/>
  <c r="K22" i="2" s="1"/>
  <c r="L25" i="2"/>
  <c r="L22" i="2" s="1"/>
  <c r="M25" i="2"/>
  <c r="M22" i="2" s="1"/>
  <c r="E34" i="2"/>
  <c r="F34" i="2"/>
  <c r="G34" i="2"/>
  <c r="H34" i="2"/>
  <c r="I34" i="2"/>
  <c r="J34" i="2"/>
  <c r="K34" i="2"/>
  <c r="L34" i="2"/>
  <c r="M34" i="2"/>
  <c r="C41" i="2"/>
  <c r="D41" i="2"/>
  <c r="E41" i="2"/>
  <c r="F41" i="2"/>
  <c r="G41" i="2"/>
  <c r="I41" i="2"/>
  <c r="J41" i="2"/>
  <c r="K41" i="2"/>
  <c r="L41" i="2"/>
  <c r="M41" i="2"/>
  <c r="E13" i="2"/>
  <c r="E12" i="2" s="1"/>
  <c r="E11" i="2" s="1"/>
  <c r="F13" i="2"/>
  <c r="F12" i="2" s="1"/>
  <c r="F11" i="2" s="1"/>
  <c r="G13" i="2"/>
  <c r="G12" i="2" s="1"/>
  <c r="G11" i="2" s="1"/>
  <c r="H13" i="2"/>
  <c r="H12" i="2" s="1"/>
  <c r="H11" i="2" s="1"/>
  <c r="I13" i="2"/>
  <c r="I12" i="2" s="1"/>
  <c r="I11" i="2" s="1"/>
  <c r="J13" i="2"/>
  <c r="J12" i="2" s="1"/>
  <c r="J11" i="2" s="1"/>
  <c r="K13" i="2"/>
  <c r="K12" i="2" s="1"/>
  <c r="K11" i="2" s="1"/>
  <c r="L13" i="2"/>
  <c r="L12" i="2" s="1"/>
  <c r="L11" i="2" s="1"/>
  <c r="M13" i="2"/>
  <c r="M12" i="2" s="1"/>
  <c r="M11" i="2" s="1"/>
  <c r="B13" i="2"/>
  <c r="C13" i="2"/>
  <c r="J21" i="2" l="1"/>
  <c r="L21" i="2"/>
  <c r="H21" i="2"/>
  <c r="F21" i="2"/>
  <c r="M21" i="2"/>
  <c r="I21" i="2"/>
  <c r="E21" i="2"/>
  <c r="K21" i="2"/>
  <c r="G21" i="2"/>
  <c r="E190" i="1"/>
  <c r="F190" i="1"/>
  <c r="G190" i="1"/>
  <c r="H190" i="1"/>
  <c r="I190" i="1"/>
  <c r="J190" i="1"/>
  <c r="K190" i="1"/>
  <c r="L190" i="1"/>
  <c r="M190" i="1"/>
  <c r="N190" i="1"/>
  <c r="O190" i="1"/>
  <c r="D190" i="1"/>
  <c r="E127" i="2"/>
  <c r="M127" i="2"/>
  <c r="D89" i="2"/>
  <c r="E89" i="2"/>
  <c r="F89" i="2"/>
  <c r="G89" i="2"/>
  <c r="H89" i="2"/>
  <c r="I89" i="2"/>
  <c r="J89" i="2"/>
  <c r="K89" i="2"/>
  <c r="L89" i="2"/>
  <c r="M89" i="2"/>
  <c r="C89" i="2"/>
  <c r="B89" i="2"/>
  <c r="M203" i="3" l="1"/>
  <c r="M202" i="3"/>
  <c r="E19" i="1"/>
  <c r="F19" i="1"/>
  <c r="G19" i="1"/>
  <c r="H19" i="1"/>
  <c r="I19" i="1"/>
  <c r="J19" i="1"/>
  <c r="K19" i="1"/>
  <c r="L19" i="1"/>
  <c r="M19" i="1"/>
  <c r="N19" i="1"/>
  <c r="O19" i="1"/>
  <c r="D19" i="1"/>
  <c r="E153" i="1"/>
  <c r="F153" i="1"/>
  <c r="G153" i="1"/>
  <c r="H153" i="1"/>
  <c r="I153" i="1"/>
  <c r="J153" i="1"/>
  <c r="K153" i="1"/>
  <c r="L153" i="1"/>
  <c r="M153" i="1"/>
  <c r="N153" i="1"/>
  <c r="O153" i="1"/>
  <c r="D153" i="1"/>
  <c r="E109" i="1"/>
  <c r="F109" i="1"/>
  <c r="G109" i="1"/>
  <c r="H109" i="1"/>
  <c r="I109" i="1"/>
  <c r="J109" i="1"/>
  <c r="K109" i="1"/>
  <c r="L109" i="1"/>
  <c r="M109" i="1"/>
  <c r="N109" i="1"/>
  <c r="O109" i="1"/>
  <c r="D109" i="1"/>
  <c r="E115" i="1"/>
  <c r="F115" i="1"/>
  <c r="F152" i="1" s="1"/>
  <c r="G115" i="1"/>
  <c r="H115" i="1"/>
  <c r="I115" i="1"/>
  <c r="J115" i="1"/>
  <c r="K115" i="1"/>
  <c r="L115" i="1"/>
  <c r="M115" i="1"/>
  <c r="N115" i="1"/>
  <c r="O115" i="1"/>
  <c r="O152" i="1" s="1"/>
  <c r="D115" i="1"/>
  <c r="D152" i="1" s="1"/>
  <c r="C94" i="3"/>
  <c r="D94" i="3"/>
  <c r="E94" i="3"/>
  <c r="F94" i="3"/>
  <c r="G94" i="3"/>
  <c r="H94" i="3"/>
  <c r="I94" i="3"/>
  <c r="J94" i="3"/>
  <c r="K94" i="3"/>
  <c r="L94" i="3"/>
  <c r="M94" i="3"/>
  <c r="C95" i="3"/>
  <c r="D95" i="3"/>
  <c r="E95" i="3"/>
  <c r="F95" i="3"/>
  <c r="G95" i="3"/>
  <c r="H95" i="3"/>
  <c r="I95" i="3"/>
  <c r="J95" i="3"/>
  <c r="K95" i="3"/>
  <c r="L95" i="3"/>
  <c r="M95" i="3"/>
  <c r="C96" i="3"/>
  <c r="D96" i="3"/>
  <c r="E96" i="3"/>
  <c r="F96" i="3"/>
  <c r="G96" i="3"/>
  <c r="H96" i="3"/>
  <c r="I96" i="3"/>
  <c r="J96" i="3"/>
  <c r="K96" i="3"/>
  <c r="L96" i="3"/>
  <c r="M96" i="3"/>
  <c r="C97" i="3"/>
  <c r="D97" i="3"/>
  <c r="E97" i="3"/>
  <c r="F97" i="3"/>
  <c r="G97" i="3"/>
  <c r="H97" i="3"/>
  <c r="I97" i="3"/>
  <c r="J97" i="3"/>
  <c r="K97" i="3"/>
  <c r="L97" i="3"/>
  <c r="M97" i="3"/>
  <c r="B97" i="3"/>
  <c r="B96" i="3"/>
  <c r="B95" i="3"/>
  <c r="B94" i="3"/>
  <c r="C120" i="3"/>
  <c r="D120" i="3"/>
  <c r="E120" i="3"/>
  <c r="F120" i="3"/>
  <c r="G120" i="3"/>
  <c r="H120" i="3"/>
  <c r="I120" i="3"/>
  <c r="J120" i="3"/>
  <c r="K120" i="3"/>
  <c r="L120" i="3"/>
  <c r="M120" i="3"/>
  <c r="B120" i="3"/>
  <c r="F56" i="2"/>
  <c r="G56" i="2"/>
  <c r="H56" i="2"/>
  <c r="I56" i="2"/>
  <c r="J56" i="2"/>
  <c r="K56" i="2"/>
  <c r="L56" i="2"/>
  <c r="M56" i="2"/>
  <c r="E56" i="2"/>
  <c r="H152" i="1" l="1"/>
  <c r="G152" i="1"/>
  <c r="I152" i="1"/>
  <c r="E152" i="1"/>
  <c r="K152" i="1"/>
  <c r="N152" i="1"/>
  <c r="L152" i="1"/>
  <c r="M152" i="1"/>
  <c r="J152" i="1"/>
  <c r="G215" i="1"/>
  <c r="H215" i="1"/>
  <c r="I215" i="1"/>
  <c r="L215" i="1"/>
  <c r="O215" i="1"/>
  <c r="E203" i="1"/>
  <c r="F203" i="1"/>
  <c r="G203" i="1"/>
  <c r="H203" i="1"/>
  <c r="I203" i="1"/>
  <c r="J203" i="1"/>
  <c r="L203" i="1"/>
  <c r="M203" i="1"/>
  <c r="N203" i="1"/>
  <c r="O203" i="1"/>
  <c r="E199" i="1"/>
  <c r="F199" i="1"/>
  <c r="G199" i="1"/>
  <c r="H199" i="1"/>
  <c r="I199" i="1"/>
  <c r="J199" i="1"/>
  <c r="K199" i="1"/>
  <c r="L199" i="1"/>
  <c r="M199" i="1"/>
  <c r="N199" i="1"/>
  <c r="O199" i="1"/>
  <c r="D203" i="1"/>
  <c r="D199" i="1"/>
  <c r="D195" i="1"/>
  <c r="E191" i="1"/>
  <c r="F191" i="1"/>
  <c r="G191" i="1"/>
  <c r="H191" i="1"/>
  <c r="I191" i="1"/>
  <c r="J191" i="1"/>
  <c r="L191" i="1"/>
  <c r="N191" i="1"/>
  <c r="O191" i="1"/>
  <c r="D191" i="1"/>
  <c r="E183" i="1"/>
  <c r="F183" i="1"/>
  <c r="G183" i="1"/>
  <c r="H183" i="1"/>
  <c r="I183" i="1"/>
  <c r="J183" i="1"/>
  <c r="K183" i="1"/>
  <c r="L183" i="1"/>
  <c r="M183" i="1"/>
  <c r="N183" i="1"/>
  <c r="O183" i="1"/>
  <c r="D183" i="1"/>
  <c r="F180" i="1"/>
  <c r="G180" i="1"/>
  <c r="H180" i="1"/>
  <c r="I180" i="1"/>
  <c r="J180" i="1"/>
  <c r="L180" i="1"/>
  <c r="M180" i="1"/>
  <c r="N180" i="1"/>
  <c r="O180" i="1"/>
  <c r="D180" i="1"/>
  <c r="G171" i="1"/>
  <c r="E119" i="3" s="1"/>
  <c r="O171" i="1"/>
  <c r="M119" i="3" s="1"/>
  <c r="E169" i="1"/>
  <c r="C121" i="3" s="1"/>
  <c r="F169" i="1"/>
  <c r="D121" i="3" s="1"/>
  <c r="G169" i="1"/>
  <c r="E121" i="3" s="1"/>
  <c r="H169" i="1"/>
  <c r="F121" i="3" s="1"/>
  <c r="I169" i="1"/>
  <c r="G121" i="3" s="1"/>
  <c r="J169" i="1"/>
  <c r="H121" i="3" s="1"/>
  <c r="K169" i="1"/>
  <c r="I121" i="3" s="1"/>
  <c r="L169" i="1"/>
  <c r="J121" i="3" s="1"/>
  <c r="M169" i="1"/>
  <c r="K121" i="3" s="1"/>
  <c r="N169" i="1"/>
  <c r="L121" i="3" s="1"/>
  <c r="O169" i="1"/>
  <c r="M121" i="3" s="1"/>
  <c r="D169" i="1"/>
  <c r="B121" i="3" s="1"/>
  <c r="E167" i="1"/>
  <c r="F167" i="1"/>
  <c r="G167" i="1"/>
  <c r="H167" i="1"/>
  <c r="I167" i="1"/>
  <c r="J167" i="1"/>
  <c r="K167" i="1"/>
  <c r="L167" i="1"/>
  <c r="M167" i="1"/>
  <c r="N167" i="1"/>
  <c r="O167" i="1"/>
  <c r="D167" i="1"/>
  <c r="E164" i="1"/>
  <c r="F164" i="1"/>
  <c r="G164" i="1"/>
  <c r="H164" i="1"/>
  <c r="I164" i="1"/>
  <c r="J164" i="1"/>
  <c r="K164" i="1"/>
  <c r="L164" i="1"/>
  <c r="M164" i="1"/>
  <c r="N164" i="1"/>
  <c r="O164" i="1"/>
  <c r="D164" i="1"/>
  <c r="E162" i="1"/>
  <c r="F162" i="1"/>
  <c r="G162" i="1"/>
  <c r="H162" i="1"/>
  <c r="I162" i="1"/>
  <c r="J162" i="1"/>
  <c r="K162" i="1"/>
  <c r="L162" i="1"/>
  <c r="M162" i="1"/>
  <c r="N162" i="1"/>
  <c r="O162" i="1"/>
  <c r="D162" i="1"/>
  <c r="I159" i="1"/>
  <c r="O159" i="1"/>
  <c r="G154" i="1"/>
  <c r="H154" i="1"/>
  <c r="I154" i="1"/>
  <c r="J154" i="1"/>
  <c r="K154" i="1"/>
  <c r="L154" i="1"/>
  <c r="M154" i="1"/>
  <c r="N154" i="1"/>
  <c r="O154" i="1"/>
  <c r="E79" i="1"/>
  <c r="F79" i="1"/>
  <c r="G79" i="1"/>
  <c r="H79" i="1"/>
  <c r="I79" i="1"/>
  <c r="J79" i="1"/>
  <c r="K79" i="1"/>
  <c r="L79" i="1"/>
  <c r="M79" i="1"/>
  <c r="N79" i="1"/>
  <c r="O79" i="1"/>
  <c r="D79" i="1"/>
  <c r="E61" i="1"/>
  <c r="F61" i="1"/>
  <c r="G61" i="1"/>
  <c r="H61" i="1"/>
  <c r="I61" i="1"/>
  <c r="J61" i="1"/>
  <c r="K61" i="1"/>
  <c r="L61" i="1"/>
  <c r="M61" i="1"/>
  <c r="N61" i="1"/>
  <c r="O61" i="1"/>
  <c r="D61" i="1"/>
  <c r="E55" i="1"/>
  <c r="F55" i="1"/>
  <c r="G55" i="1"/>
  <c r="H55" i="1"/>
  <c r="I55" i="1"/>
  <c r="J55" i="1"/>
  <c r="K55" i="1"/>
  <c r="L55" i="1"/>
  <c r="M55" i="1"/>
  <c r="N55" i="1"/>
  <c r="O55" i="1"/>
  <c r="D55" i="1"/>
  <c r="E40" i="1"/>
  <c r="F40" i="1"/>
  <c r="G40" i="1"/>
  <c r="H40" i="1"/>
  <c r="I40" i="1"/>
  <c r="J40" i="1"/>
  <c r="K40" i="1"/>
  <c r="L40" i="1"/>
  <c r="M40" i="1"/>
  <c r="N40" i="1"/>
  <c r="O40" i="1"/>
  <c r="E34" i="1"/>
  <c r="F34" i="1"/>
  <c r="G34" i="1"/>
  <c r="H34" i="1"/>
  <c r="I34" i="1"/>
  <c r="J34" i="1"/>
  <c r="K34" i="1"/>
  <c r="L34" i="1"/>
  <c r="M34" i="1"/>
  <c r="N34" i="1"/>
  <c r="O34" i="1"/>
  <c r="D40" i="1"/>
  <c r="D34" i="1"/>
  <c r="G13" i="1"/>
  <c r="G151" i="1" s="1"/>
  <c r="I13" i="1"/>
  <c r="I151" i="1" s="1"/>
  <c r="K13" i="1"/>
  <c r="K151" i="1" s="1"/>
  <c r="L13" i="1"/>
  <c r="L151" i="1" s="1"/>
  <c r="O13" i="1"/>
  <c r="O151" i="1" s="1"/>
  <c r="I7" i="1"/>
  <c r="J7" i="1"/>
  <c r="K7" i="1"/>
  <c r="L7" i="1"/>
  <c r="M7" i="1"/>
  <c r="N7" i="1"/>
  <c r="O7" i="1"/>
  <c r="K203" i="1"/>
  <c r="K191" i="1"/>
  <c r="M191" i="1"/>
  <c r="B186" i="2"/>
  <c r="B185" i="2" s="1"/>
  <c r="B173" i="2"/>
  <c r="K180" i="1"/>
  <c r="E180" i="1"/>
  <c r="B138" i="2"/>
  <c r="R132" i="2"/>
  <c r="R131" i="2" s="1"/>
  <c r="Q132" i="2"/>
  <c r="Q131" i="2" s="1"/>
  <c r="P132" i="2"/>
  <c r="P131" i="2" s="1"/>
  <c r="O132" i="2"/>
  <c r="O131" i="2" s="1"/>
  <c r="N131" i="2"/>
  <c r="K130" i="2"/>
  <c r="H130" i="2"/>
  <c r="G130" i="2"/>
  <c r="F130" i="2"/>
  <c r="C130" i="2"/>
  <c r="B130" i="2"/>
  <c r="L130" i="2"/>
  <c r="J130" i="2"/>
  <c r="I130" i="2"/>
  <c r="E130" i="2"/>
  <c r="D130" i="2"/>
  <c r="L111" i="2"/>
  <c r="L127" i="2" s="1"/>
  <c r="G111" i="2"/>
  <c r="C111" i="2"/>
  <c r="B118" i="2"/>
  <c r="K111" i="2"/>
  <c r="D111" i="2"/>
  <c r="D127" i="2" s="1"/>
  <c r="B112" i="2"/>
  <c r="J111" i="2"/>
  <c r="J127" i="2" s="1"/>
  <c r="I111" i="2"/>
  <c r="I127" i="2" s="1"/>
  <c r="H111" i="2"/>
  <c r="H127" i="2" s="1"/>
  <c r="F111" i="2"/>
  <c r="F127" i="2" s="1"/>
  <c r="C99" i="2"/>
  <c r="C92" i="2"/>
  <c r="N81" i="2"/>
  <c r="N80" i="2"/>
  <c r="D79" i="2"/>
  <c r="C79" i="2"/>
  <c r="B79" i="2"/>
  <c r="N76" i="2"/>
  <c r="N75" i="2"/>
  <c r="N74" i="2"/>
  <c r="N73" i="2"/>
  <c r="N72" i="2"/>
  <c r="N13" i="1"/>
  <c r="N151" i="1" s="1"/>
  <c r="M13" i="1"/>
  <c r="M151" i="1" s="1"/>
  <c r="J13" i="1"/>
  <c r="J151" i="1" s="1"/>
  <c r="H13" i="1"/>
  <c r="H151" i="1" s="1"/>
  <c r="D71" i="2"/>
  <c r="F13" i="1" s="1"/>
  <c r="F151" i="1" s="1"/>
  <c r="C71" i="2"/>
  <c r="E13" i="1" s="1"/>
  <c r="E151" i="1" s="1"/>
  <c r="F65" i="2"/>
  <c r="H7" i="1" s="1"/>
  <c r="E65" i="2"/>
  <c r="G7" i="1" s="1"/>
  <c r="D65" i="2"/>
  <c r="F7" i="1" s="1"/>
  <c r="C65" i="2"/>
  <c r="E7" i="1" s="1"/>
  <c r="B65" i="2"/>
  <c r="D7" i="1" s="1"/>
  <c r="D56" i="2"/>
  <c r="F154" i="1" s="1"/>
  <c r="C56" i="2"/>
  <c r="E154" i="1" s="1"/>
  <c r="B56" i="2"/>
  <c r="D154" i="1" s="1"/>
  <c r="N51" i="2"/>
  <c r="L51" i="2"/>
  <c r="N159" i="1" s="1"/>
  <c r="K51" i="2"/>
  <c r="M159" i="1" s="1"/>
  <c r="J51" i="2"/>
  <c r="L159" i="1" s="1"/>
  <c r="I51" i="2"/>
  <c r="K159" i="1" s="1"/>
  <c r="H51" i="2"/>
  <c r="J159" i="1" s="1"/>
  <c r="F51" i="2"/>
  <c r="H159" i="1" s="1"/>
  <c r="E51" i="2"/>
  <c r="G159" i="1" s="1"/>
  <c r="D51" i="2"/>
  <c r="F159" i="1" s="1"/>
  <c r="C51" i="2"/>
  <c r="E159" i="1" s="1"/>
  <c r="B51" i="2"/>
  <c r="D159" i="1" s="1"/>
  <c r="B41" i="2"/>
  <c r="N41" i="2" s="1"/>
  <c r="N39" i="2"/>
  <c r="N37" i="2"/>
  <c r="N36" i="2"/>
  <c r="N35" i="2"/>
  <c r="N215" i="1"/>
  <c r="M215" i="1"/>
  <c r="K215" i="1"/>
  <c r="J215" i="1"/>
  <c r="D34" i="2"/>
  <c r="C34" i="2"/>
  <c r="B34" i="2"/>
  <c r="D215" i="1" s="1"/>
  <c r="N33" i="2"/>
  <c r="N29" i="2"/>
  <c r="N28" i="2"/>
  <c r="N27" i="2"/>
  <c r="N26" i="2"/>
  <c r="O25" i="2"/>
  <c r="O22" i="2" s="1"/>
  <c r="O21" i="2" s="1"/>
  <c r="B25" i="2"/>
  <c r="B22" i="2" s="1"/>
  <c r="J32" i="2"/>
  <c r="J38" i="2" s="1"/>
  <c r="E32" i="2"/>
  <c r="E38" i="2" s="1"/>
  <c r="R20" i="2"/>
  <c r="P34" i="2" s="1"/>
  <c r="N19" i="2"/>
  <c r="N18" i="2"/>
  <c r="N17" i="2"/>
  <c r="N16" i="2"/>
  <c r="N15" i="2"/>
  <c r="N14" i="2"/>
  <c r="O13" i="2"/>
  <c r="O12" i="2" s="1"/>
  <c r="O11" i="2" s="1"/>
  <c r="D13" i="2"/>
  <c r="D12" i="2" s="1"/>
  <c r="D11" i="2" s="1"/>
  <c r="C12" i="2"/>
  <c r="C11" i="2" s="1"/>
  <c r="C32" i="2" s="1"/>
  <c r="B12" i="2"/>
  <c r="B11" i="2" s="1"/>
  <c r="I32" i="2"/>
  <c r="I38" i="2" s="1"/>
  <c r="B111" i="2" l="1"/>
  <c r="B127" i="2" s="1"/>
  <c r="F215" i="1"/>
  <c r="D21" i="2"/>
  <c r="D202" i="3" s="1"/>
  <c r="C21" i="2"/>
  <c r="C203" i="3" s="1"/>
  <c r="B21" i="2"/>
  <c r="B203" i="3" s="1"/>
  <c r="N25" i="2"/>
  <c r="N22" i="2" s="1"/>
  <c r="G127" i="2"/>
  <c r="I171" i="1"/>
  <c r="G119" i="3" s="1"/>
  <c r="K171" i="1"/>
  <c r="I119" i="3" s="1"/>
  <c r="L171" i="1"/>
  <c r="J119" i="3" s="1"/>
  <c r="K127" i="2"/>
  <c r="M171" i="1"/>
  <c r="K119" i="3" s="1"/>
  <c r="C127" i="2"/>
  <c r="E171" i="1"/>
  <c r="C119" i="3" s="1"/>
  <c r="N171" i="1"/>
  <c r="L119" i="3" s="1"/>
  <c r="J171" i="1"/>
  <c r="H119" i="3" s="1"/>
  <c r="F171" i="1"/>
  <c r="D119" i="3" s="1"/>
  <c r="H171" i="1"/>
  <c r="F119" i="3" s="1"/>
  <c r="N71" i="2"/>
  <c r="L201" i="3"/>
  <c r="D32" i="2"/>
  <c r="D38" i="2" s="1"/>
  <c r="L202" i="3"/>
  <c r="C38" i="2"/>
  <c r="E215" i="1"/>
  <c r="O32" i="2"/>
  <c r="O38" i="2" s="1"/>
  <c r="F32" i="2"/>
  <c r="F38" i="2" s="1"/>
  <c r="L32" i="2"/>
  <c r="L38" i="2" s="1"/>
  <c r="G32" i="2"/>
  <c r="G38" i="2" s="1"/>
  <c r="I203" i="3"/>
  <c r="I202" i="3"/>
  <c r="B32" i="2"/>
  <c r="B38" i="2" s="1"/>
  <c r="K203" i="3"/>
  <c r="K202" i="3"/>
  <c r="G203" i="3"/>
  <c r="G202" i="3"/>
  <c r="H203" i="3"/>
  <c r="H202" i="3"/>
  <c r="J203" i="3"/>
  <c r="J202" i="3"/>
  <c r="H32" i="2"/>
  <c r="H38" i="2" s="1"/>
  <c r="F202" i="3"/>
  <c r="F203" i="3"/>
  <c r="P33" i="2"/>
  <c r="Q33" i="2" s="1"/>
  <c r="R33" i="2" s="1"/>
  <c r="C201" i="3"/>
  <c r="N34" i="2"/>
  <c r="Q34" i="2" s="1"/>
  <c r="R34" i="2" s="1"/>
  <c r="M201" i="3"/>
  <c r="K201" i="3"/>
  <c r="J201" i="3"/>
  <c r="I201" i="3"/>
  <c r="H201" i="3"/>
  <c r="G201" i="3"/>
  <c r="F201" i="3"/>
  <c r="E201" i="3"/>
  <c r="D201" i="3"/>
  <c r="N79" i="2"/>
  <c r="K32" i="2"/>
  <c r="K38" i="2" s="1"/>
  <c r="N13" i="2"/>
  <c r="B71" i="2"/>
  <c r="D13" i="1" s="1"/>
  <c r="D151" i="1" s="1"/>
  <c r="P23" i="2"/>
  <c r="Q23" i="2" s="1"/>
  <c r="P16" i="2"/>
  <c r="Q16" i="2" s="1"/>
  <c r="R16" i="2" s="1"/>
  <c r="P19" i="2"/>
  <c r="Q19" i="2" s="1"/>
  <c r="R19" i="2" s="1"/>
  <c r="P29" i="2"/>
  <c r="Q29" i="2" s="1"/>
  <c r="O39" i="2"/>
  <c r="P39" i="2" s="1"/>
  <c r="P30" i="2"/>
  <c r="Q30" i="2" s="1"/>
  <c r="P24" i="2"/>
  <c r="Q24" i="2" s="1"/>
  <c r="R24" i="2" s="1"/>
  <c r="P14" i="2"/>
  <c r="P17" i="2"/>
  <c r="Q17" i="2" s="1"/>
  <c r="R17" i="2" s="1"/>
  <c r="P26" i="2"/>
  <c r="P27" i="2"/>
  <c r="Q27" i="2" s="1"/>
  <c r="R27" i="2" s="1"/>
  <c r="P15" i="2"/>
  <c r="Q15" i="2" s="1"/>
  <c r="R15" i="2" s="1"/>
  <c r="D171" i="1" l="1"/>
  <c r="B119" i="3" s="1"/>
  <c r="D203" i="3"/>
  <c r="Q39" i="2"/>
  <c r="B202" i="3"/>
  <c r="C202" i="3"/>
  <c r="B201" i="3"/>
  <c r="L203" i="3"/>
  <c r="N21" i="2"/>
  <c r="E203" i="3"/>
  <c r="E202" i="3"/>
  <c r="P13" i="2"/>
  <c r="Q13" i="2" s="1"/>
  <c r="R13" i="2" s="1"/>
  <c r="P18" i="2"/>
  <c r="R23" i="2"/>
  <c r="N12" i="2"/>
  <c r="Q14" i="2"/>
  <c r="R14" i="2" s="1"/>
  <c r="P25" i="2"/>
  <c r="Q25" i="2" s="1"/>
  <c r="R25" i="2" s="1"/>
  <c r="Q26" i="2"/>
  <c r="Q18" i="2" l="1"/>
  <c r="M32" i="2"/>
  <c r="M38" i="2" s="1"/>
  <c r="P12" i="2"/>
  <c r="P11" i="2" s="1"/>
  <c r="N11" i="2"/>
  <c r="P22" i="2"/>
  <c r="Q12" i="2" l="1"/>
  <c r="R12" i="2" s="1"/>
  <c r="P21" i="2"/>
  <c r="Q21" i="2" s="1"/>
  <c r="R21" i="2" s="1"/>
  <c r="Q22" i="2"/>
  <c r="R22" i="2" s="1"/>
  <c r="N32" i="2"/>
  <c r="Q11" i="2"/>
  <c r="R11" i="2" s="1"/>
  <c r="P32" i="2"/>
  <c r="P38" i="2" s="1"/>
  <c r="N38" i="2" l="1"/>
  <c r="Q38" i="2" s="1"/>
  <c r="Q32" i="2"/>
  <c r="R32" i="2" s="1"/>
  <c r="E160" i="1" l="1"/>
  <c r="C177" i="3" s="1"/>
  <c r="F160" i="1"/>
  <c r="D177" i="3" s="1"/>
  <c r="G160" i="1"/>
  <c r="E177" i="3" s="1"/>
  <c r="H160" i="1"/>
  <c r="F177" i="3" s="1"/>
  <c r="I160" i="1"/>
  <c r="G177" i="3" s="1"/>
  <c r="J160" i="1"/>
  <c r="H177" i="3" s="1"/>
  <c r="K160" i="1"/>
  <c r="I177" i="3" s="1"/>
  <c r="L160" i="1"/>
  <c r="J177" i="3" s="1"/>
  <c r="M160" i="1"/>
  <c r="K177" i="3" s="1"/>
  <c r="N160" i="1"/>
  <c r="L177" i="3" s="1"/>
  <c r="O160" i="1"/>
  <c r="M177" i="3" s="1"/>
  <c r="D160" i="1"/>
  <c r="B177" i="3" s="1"/>
  <c r="K104" i="1"/>
  <c r="I98" i="3" s="1"/>
  <c r="I104" i="1"/>
  <c r="G98" i="3" s="1"/>
  <c r="C98" i="3"/>
  <c r="D104" i="1"/>
  <c r="B98" i="3" s="1"/>
  <c r="O104" i="1"/>
  <c r="M98" i="3" s="1"/>
  <c r="N104" i="1"/>
  <c r="L98" i="3" s="1"/>
  <c r="M104" i="1"/>
  <c r="K98" i="3" s="1"/>
  <c r="L104" i="1"/>
  <c r="J98" i="3" s="1"/>
  <c r="J104" i="1"/>
  <c r="H98" i="3" s="1"/>
  <c r="H104" i="1"/>
  <c r="F98" i="3" s="1"/>
  <c r="G104" i="1"/>
  <c r="E98" i="3" s="1"/>
  <c r="F104" i="1"/>
  <c r="D98" i="3" s="1"/>
  <c r="E91" i="1"/>
  <c r="C47" i="3" s="1"/>
  <c r="F91" i="1"/>
  <c r="D47" i="3" s="1"/>
  <c r="G91" i="1"/>
  <c r="E47" i="3" s="1"/>
  <c r="H91" i="1"/>
  <c r="F47" i="3" s="1"/>
  <c r="I91" i="1"/>
  <c r="G47" i="3" s="1"/>
  <c r="J91" i="1"/>
  <c r="H47" i="3" s="1"/>
  <c r="K91" i="1"/>
  <c r="I47" i="3" s="1"/>
  <c r="L91" i="1"/>
  <c r="J47" i="3" s="1"/>
  <c r="M91" i="1"/>
  <c r="K47" i="3" s="1"/>
  <c r="N91" i="1"/>
  <c r="L47" i="3" s="1"/>
  <c r="O91" i="1"/>
  <c r="M47" i="3" s="1"/>
  <c r="D91" i="1"/>
  <c r="B47" i="3" s="1"/>
  <c r="D78" i="1"/>
  <c r="E78" i="1" s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D77" i="1"/>
  <c r="E77" i="1" s="1"/>
  <c r="O75" i="1"/>
  <c r="N75" i="1"/>
  <c r="M75" i="1"/>
  <c r="L75" i="1"/>
  <c r="K75" i="1"/>
  <c r="J75" i="1"/>
  <c r="I75" i="1"/>
  <c r="H75" i="1"/>
  <c r="G75" i="1"/>
  <c r="F75" i="1"/>
  <c r="E75" i="1"/>
  <c r="D75" i="1"/>
  <c r="D45" i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D44" i="1"/>
  <c r="E44" i="1" s="1"/>
  <c r="O42" i="1"/>
  <c r="N42" i="1"/>
  <c r="M42" i="1"/>
  <c r="L42" i="1"/>
  <c r="K42" i="1"/>
  <c r="J42" i="1"/>
  <c r="I42" i="1"/>
  <c r="H42" i="1"/>
  <c r="G42" i="1"/>
  <c r="F42" i="1"/>
  <c r="E42" i="1"/>
  <c r="D42" i="1"/>
  <c r="D51" i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D50" i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D39" i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D38" i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E97" i="1"/>
  <c r="C70" i="3" s="1"/>
  <c r="F97" i="1"/>
  <c r="D70" i="3" s="1"/>
  <c r="G97" i="1"/>
  <c r="E70" i="3" s="1"/>
  <c r="H97" i="1"/>
  <c r="F70" i="3" s="1"/>
  <c r="I97" i="1"/>
  <c r="G70" i="3" s="1"/>
  <c r="J97" i="1"/>
  <c r="H70" i="3" s="1"/>
  <c r="K97" i="1"/>
  <c r="I70" i="3" s="1"/>
  <c r="L97" i="1"/>
  <c r="J70" i="3" s="1"/>
  <c r="M97" i="1"/>
  <c r="K70" i="3" s="1"/>
  <c r="N97" i="1"/>
  <c r="L70" i="3" s="1"/>
  <c r="O97" i="1"/>
  <c r="M70" i="3" s="1"/>
  <c r="D97" i="1"/>
  <c r="B70" i="3" s="1"/>
  <c r="E95" i="1"/>
  <c r="C69" i="3" s="1"/>
  <c r="F95" i="1"/>
  <c r="D69" i="3" s="1"/>
  <c r="G95" i="1"/>
  <c r="E69" i="3" s="1"/>
  <c r="H95" i="1"/>
  <c r="F69" i="3" s="1"/>
  <c r="I95" i="1"/>
  <c r="G69" i="3" s="1"/>
  <c r="J95" i="1"/>
  <c r="H69" i="3" s="1"/>
  <c r="K95" i="1"/>
  <c r="I69" i="3" s="1"/>
  <c r="L95" i="1"/>
  <c r="J69" i="3" s="1"/>
  <c r="M95" i="1"/>
  <c r="K69" i="3" s="1"/>
  <c r="N95" i="1"/>
  <c r="L69" i="3" s="1"/>
  <c r="O95" i="1"/>
  <c r="M69" i="3" s="1"/>
  <c r="D95" i="1"/>
  <c r="B69" i="3" s="1"/>
  <c r="E31" i="1"/>
  <c r="C4" i="3" s="1"/>
  <c r="F31" i="1"/>
  <c r="D4" i="3" s="1"/>
  <c r="G31" i="1"/>
  <c r="E4" i="3" s="1"/>
  <c r="H31" i="1"/>
  <c r="F4" i="3" s="1"/>
  <c r="I31" i="1"/>
  <c r="G4" i="3" s="1"/>
  <c r="J31" i="1"/>
  <c r="H4" i="3" s="1"/>
  <c r="K31" i="1"/>
  <c r="I4" i="3" s="1"/>
  <c r="L31" i="1"/>
  <c r="J4" i="3" s="1"/>
  <c r="M31" i="1"/>
  <c r="K4" i="3" s="1"/>
  <c r="N31" i="1"/>
  <c r="L4" i="3" s="1"/>
  <c r="O31" i="1"/>
  <c r="M4" i="3" s="1"/>
  <c r="D31" i="1"/>
  <c r="B4" i="3" s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D23" i="1"/>
  <c r="E23" i="1" s="1"/>
  <c r="O21" i="1"/>
  <c r="N21" i="1"/>
  <c r="M21" i="1"/>
  <c r="L21" i="1"/>
  <c r="K21" i="1"/>
  <c r="J21" i="1"/>
  <c r="I21" i="1"/>
  <c r="H21" i="1"/>
  <c r="G21" i="1"/>
  <c r="F21" i="1"/>
  <c r="E21" i="1"/>
  <c r="D21" i="1"/>
  <c r="D43" i="1" l="1"/>
  <c r="D76" i="1"/>
  <c r="F77" i="1"/>
  <c r="E76" i="1"/>
  <c r="F44" i="1"/>
  <c r="E43" i="1"/>
  <c r="D22" i="1"/>
  <c r="F23" i="1"/>
  <c r="E22" i="1"/>
  <c r="F76" i="1" l="1"/>
  <c r="G77" i="1"/>
  <c r="G44" i="1"/>
  <c r="F43" i="1"/>
  <c r="G23" i="1"/>
  <c r="F22" i="1"/>
  <c r="H77" i="1" l="1"/>
  <c r="G76" i="1"/>
  <c r="H44" i="1"/>
  <c r="G43" i="1"/>
  <c r="H23" i="1"/>
  <c r="G22" i="1"/>
  <c r="I77" i="1" l="1"/>
  <c r="H76" i="1"/>
  <c r="I44" i="1"/>
  <c r="H43" i="1"/>
  <c r="I23" i="1"/>
  <c r="H22" i="1"/>
  <c r="I76" i="1" l="1"/>
  <c r="J77" i="1"/>
  <c r="J44" i="1"/>
  <c r="I43" i="1"/>
  <c r="J23" i="1"/>
  <c r="I22" i="1"/>
  <c r="K77" i="1" l="1"/>
  <c r="J76" i="1"/>
  <c r="K44" i="1"/>
  <c r="J43" i="1"/>
  <c r="K23" i="1"/>
  <c r="J22" i="1"/>
  <c r="L77" i="1" l="1"/>
  <c r="K76" i="1"/>
  <c r="L44" i="1"/>
  <c r="K43" i="1"/>
  <c r="K22" i="1"/>
  <c r="L23" i="1"/>
  <c r="M77" i="1" l="1"/>
  <c r="L76" i="1"/>
  <c r="M44" i="1"/>
  <c r="L43" i="1"/>
  <c r="M23" i="1"/>
  <c r="L22" i="1"/>
  <c r="N77" i="1" l="1"/>
  <c r="M76" i="1"/>
  <c r="N44" i="1"/>
  <c r="M43" i="1"/>
  <c r="N23" i="1"/>
  <c r="M22" i="1"/>
  <c r="N76" i="1" l="1"/>
  <c r="O77" i="1"/>
  <c r="O76" i="1" s="1"/>
  <c r="O44" i="1"/>
  <c r="O43" i="1" s="1"/>
  <c r="N43" i="1"/>
  <c r="O23" i="1"/>
  <c r="O22" i="1" s="1"/>
  <c r="N22" i="1"/>
  <c r="M161" i="1" l="1"/>
  <c r="K176" i="3" s="1"/>
  <c r="N161" i="1"/>
  <c r="L176" i="3" s="1"/>
  <c r="O161" i="1"/>
  <c r="M176" i="3" s="1"/>
  <c r="K161" i="1" l="1"/>
  <c r="I176" i="3" s="1"/>
  <c r="L161" i="1"/>
  <c r="J176" i="3" s="1"/>
  <c r="E161" i="1" l="1"/>
  <c r="C176" i="3" s="1"/>
  <c r="F161" i="1"/>
  <c r="D176" i="3" s="1"/>
  <c r="G161" i="1"/>
  <c r="E176" i="3" s="1"/>
  <c r="H161" i="1"/>
  <c r="F176" i="3" s="1"/>
  <c r="I161" i="1"/>
  <c r="G176" i="3" s="1"/>
  <c r="J161" i="1"/>
  <c r="H176" i="3" s="1"/>
  <c r="D161" i="1"/>
  <c r="B176" i="3" s="1"/>
  <c r="D168" i="1" l="1"/>
  <c r="E168" i="1" s="1"/>
  <c r="F168" i="1" s="1"/>
  <c r="G168" i="1" s="1"/>
  <c r="H168" i="1" s="1"/>
  <c r="I168" i="1" s="1"/>
  <c r="J168" i="1" s="1"/>
  <c r="K168" i="1" s="1"/>
  <c r="L168" i="1" s="1"/>
  <c r="M168" i="1" s="1"/>
  <c r="N168" i="1" s="1"/>
  <c r="O168" i="1" s="1"/>
  <c r="E52" i="1" l="1"/>
  <c r="C25" i="3" s="1"/>
  <c r="F52" i="1"/>
  <c r="D25" i="3" s="1"/>
  <c r="G52" i="1"/>
  <c r="E25" i="3" s="1"/>
  <c r="H52" i="1"/>
  <c r="F25" i="3" s="1"/>
  <c r="I52" i="1"/>
  <c r="G25" i="3" s="1"/>
  <c r="J52" i="1"/>
  <c r="H25" i="3" s="1"/>
  <c r="K52" i="1"/>
  <c r="I25" i="3" s="1"/>
  <c r="L52" i="1"/>
  <c r="J25" i="3" s="1"/>
  <c r="M52" i="1"/>
  <c r="K25" i="3" s="1"/>
  <c r="N52" i="1"/>
  <c r="L25" i="3" s="1"/>
  <c r="O52" i="1"/>
  <c r="M25" i="3" s="1"/>
  <c r="D52" i="1"/>
  <c r="B25" i="3" s="1"/>
  <c r="E48" i="1"/>
  <c r="F48" i="1"/>
  <c r="G48" i="1"/>
  <c r="H48" i="1"/>
  <c r="I48" i="1"/>
  <c r="J48" i="1"/>
  <c r="K48" i="1"/>
  <c r="L48" i="1"/>
  <c r="M48" i="1"/>
  <c r="N48" i="1"/>
  <c r="O48" i="1"/>
  <c r="E49" i="1"/>
  <c r="F49" i="1"/>
  <c r="G49" i="1"/>
  <c r="H49" i="1"/>
  <c r="I49" i="1"/>
  <c r="J49" i="1"/>
  <c r="K49" i="1"/>
  <c r="L49" i="1"/>
  <c r="M49" i="1"/>
  <c r="N49" i="1"/>
  <c r="O49" i="1"/>
  <c r="D49" i="1"/>
  <c r="D48" i="1"/>
  <c r="E36" i="1"/>
  <c r="F36" i="1"/>
  <c r="G36" i="1"/>
  <c r="H36" i="1"/>
  <c r="I36" i="1"/>
  <c r="J36" i="1"/>
  <c r="K36" i="1"/>
  <c r="L36" i="1"/>
  <c r="M36" i="1"/>
  <c r="N36" i="1"/>
  <c r="O36" i="1"/>
  <c r="E37" i="1"/>
  <c r="F37" i="1"/>
  <c r="G37" i="1"/>
  <c r="H37" i="1"/>
  <c r="I37" i="1"/>
  <c r="J37" i="1"/>
  <c r="K37" i="1"/>
  <c r="L37" i="1"/>
  <c r="M37" i="1"/>
  <c r="N37" i="1"/>
  <c r="O37" i="1"/>
  <c r="D37" i="1"/>
  <c r="D36" i="1"/>
  <c r="J207" i="1" l="1"/>
  <c r="K207" i="1"/>
  <c r="L207" i="1"/>
  <c r="M207" i="1"/>
  <c r="N207" i="1"/>
  <c r="O207" i="1"/>
  <c r="J208" i="1"/>
  <c r="K208" i="1"/>
  <c r="L208" i="1"/>
  <c r="M208" i="1"/>
  <c r="N208" i="1"/>
  <c r="O208" i="1"/>
  <c r="J209" i="1"/>
  <c r="K209" i="1"/>
  <c r="L209" i="1"/>
  <c r="M209" i="1"/>
  <c r="N209" i="1"/>
  <c r="O209" i="1"/>
  <c r="J210" i="1"/>
  <c r="K210" i="1"/>
  <c r="L210" i="1"/>
  <c r="M210" i="1"/>
  <c r="N210" i="1"/>
  <c r="O210" i="1"/>
  <c r="K170" i="1"/>
  <c r="L170" i="1"/>
  <c r="M170" i="1"/>
  <c r="N170" i="1"/>
  <c r="O170" i="1"/>
  <c r="D189" i="1"/>
  <c r="E189" i="1" s="1"/>
  <c r="F189" i="1" s="1"/>
  <c r="G189" i="1" s="1"/>
  <c r="H189" i="1" s="1"/>
  <c r="I189" i="1" s="1"/>
  <c r="J189" i="1" s="1"/>
  <c r="K189" i="1" s="1"/>
  <c r="L189" i="1" s="1"/>
  <c r="M189" i="1" s="1"/>
  <c r="N189" i="1" s="1"/>
  <c r="O189" i="1" s="1"/>
  <c r="J179" i="1"/>
  <c r="J177" i="1"/>
  <c r="J175" i="1"/>
  <c r="J173" i="1"/>
  <c r="E170" i="1"/>
  <c r="F170" i="1"/>
  <c r="G170" i="1"/>
  <c r="H170" i="1"/>
  <c r="I170" i="1"/>
  <c r="J170" i="1"/>
  <c r="D170" i="1"/>
  <c r="D114" i="1"/>
  <c r="D113" i="1"/>
  <c r="D12" i="1"/>
  <c r="D11" i="1"/>
  <c r="E182" i="1"/>
  <c r="F182" i="1"/>
  <c r="G182" i="1"/>
  <c r="H182" i="1"/>
  <c r="I182" i="1"/>
  <c r="J182" i="1"/>
  <c r="K182" i="1"/>
  <c r="L182" i="1"/>
  <c r="M182" i="1"/>
  <c r="N182" i="1"/>
  <c r="O182" i="1"/>
  <c r="D182" i="1"/>
  <c r="J212" i="1" l="1"/>
  <c r="N212" i="1"/>
  <c r="O212" i="1"/>
  <c r="M212" i="1"/>
  <c r="K212" i="1"/>
  <c r="L212" i="1"/>
  <c r="O211" i="1"/>
  <c r="N211" i="1"/>
  <c r="M211" i="1"/>
  <c r="L211" i="1"/>
  <c r="K211" i="1"/>
  <c r="J211" i="1"/>
  <c r="D144" i="1" l="1"/>
  <c r="E144" i="1" s="1"/>
  <c r="F144" i="1" s="1"/>
  <c r="G144" i="1" s="1"/>
  <c r="H144" i="1" s="1"/>
  <c r="I144" i="1" s="1"/>
  <c r="J144" i="1" s="1"/>
  <c r="K144" i="1" s="1"/>
  <c r="L144" i="1" s="1"/>
  <c r="M144" i="1" s="1"/>
  <c r="N144" i="1" s="1"/>
  <c r="O144" i="1" s="1"/>
  <c r="D143" i="1"/>
  <c r="E143" i="1" s="1"/>
  <c r="F143" i="1" s="1"/>
  <c r="G143" i="1" s="1"/>
  <c r="H143" i="1" s="1"/>
  <c r="I143" i="1" s="1"/>
  <c r="J143" i="1" s="1"/>
  <c r="K143" i="1" s="1"/>
  <c r="L143" i="1" s="1"/>
  <c r="M143" i="1" s="1"/>
  <c r="N143" i="1" s="1"/>
  <c r="O143" i="1" s="1"/>
  <c r="D132" i="1"/>
  <c r="E132" i="1" s="1"/>
  <c r="F132" i="1" s="1"/>
  <c r="G132" i="1" s="1"/>
  <c r="H132" i="1" s="1"/>
  <c r="I132" i="1" s="1"/>
  <c r="J132" i="1" s="1"/>
  <c r="K132" i="1" s="1"/>
  <c r="L132" i="1" s="1"/>
  <c r="M132" i="1" s="1"/>
  <c r="N132" i="1" s="1"/>
  <c r="O132" i="1" s="1"/>
  <c r="D131" i="1"/>
  <c r="E131" i="1" s="1"/>
  <c r="F131" i="1" s="1"/>
  <c r="G131" i="1" s="1"/>
  <c r="H131" i="1" s="1"/>
  <c r="I131" i="1" s="1"/>
  <c r="J131" i="1" s="1"/>
  <c r="K131" i="1" s="1"/>
  <c r="L131" i="1" s="1"/>
  <c r="M131" i="1" s="1"/>
  <c r="N131" i="1" s="1"/>
  <c r="O131" i="1" s="1"/>
  <c r="D126" i="1"/>
  <c r="E126" i="1" s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D125" i="1"/>
  <c r="E125" i="1" s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D120" i="1"/>
  <c r="E120" i="1" s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D119" i="1"/>
  <c r="E119" i="1" s="1"/>
  <c r="F119" i="1" s="1"/>
  <c r="G119" i="1" s="1"/>
  <c r="H119" i="1" s="1"/>
  <c r="I119" i="1" s="1"/>
  <c r="J119" i="1" s="1"/>
  <c r="K119" i="1" s="1"/>
  <c r="L119" i="1" s="1"/>
  <c r="M119" i="1" s="1"/>
  <c r="N119" i="1" s="1"/>
  <c r="O119" i="1" s="1"/>
  <c r="D84" i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D83" i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D72" i="1"/>
  <c r="D71" i="1"/>
  <c r="D66" i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D65" i="1"/>
  <c r="E65" i="1" s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D59" i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E71" i="1" l="1"/>
  <c r="F71" i="1" s="1"/>
  <c r="D92" i="1"/>
  <c r="E72" i="1"/>
  <c r="F72" i="1" s="1"/>
  <c r="G158" i="1"/>
  <c r="G157" i="1"/>
  <c r="E175" i="3" s="1"/>
  <c r="F158" i="1"/>
  <c r="F157" i="1"/>
  <c r="D175" i="3" s="1"/>
  <c r="E158" i="1"/>
  <c r="E157" i="1"/>
  <c r="C175" i="3" s="1"/>
  <c r="D158" i="1"/>
  <c r="D157" i="1"/>
  <c r="B175" i="3" s="1"/>
  <c r="D156" i="1"/>
  <c r="E156" i="1" s="1"/>
  <c r="F156" i="1" s="1"/>
  <c r="G156" i="1" s="1"/>
  <c r="H156" i="1" s="1"/>
  <c r="I156" i="1" s="1"/>
  <c r="J156" i="1" s="1"/>
  <c r="K156" i="1" s="1"/>
  <c r="L156" i="1" s="1"/>
  <c r="M156" i="1" s="1"/>
  <c r="N156" i="1" s="1"/>
  <c r="O156" i="1" s="1"/>
  <c r="G111" i="1"/>
  <c r="F111" i="1"/>
  <c r="E114" i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E113" i="1"/>
  <c r="E111" i="1"/>
  <c r="D112" i="1"/>
  <c r="D111" i="1"/>
  <c r="F9" i="1"/>
  <c r="E12" i="1"/>
  <c r="F12" i="1" s="1"/>
  <c r="E11" i="1"/>
  <c r="E9" i="1"/>
  <c r="D10" i="1"/>
  <c r="D9" i="1"/>
  <c r="E92" i="1" l="1"/>
  <c r="G72" i="1"/>
  <c r="G71" i="1"/>
  <c r="G86" i="1" s="1"/>
  <c r="F92" i="1"/>
  <c r="E112" i="1"/>
  <c r="E10" i="1"/>
  <c r="F11" i="1"/>
  <c r="F10" i="1" s="1"/>
  <c r="F113" i="1"/>
  <c r="I210" i="1"/>
  <c r="H210" i="1"/>
  <c r="G210" i="1"/>
  <c r="F210" i="1"/>
  <c r="E210" i="1"/>
  <c r="D210" i="1"/>
  <c r="I209" i="1"/>
  <c r="H209" i="1"/>
  <c r="G209" i="1"/>
  <c r="F209" i="1"/>
  <c r="E209" i="1"/>
  <c r="D209" i="1"/>
  <c r="I208" i="1"/>
  <c r="H208" i="1"/>
  <c r="G208" i="1"/>
  <c r="F208" i="1"/>
  <c r="E208" i="1"/>
  <c r="D208" i="1"/>
  <c r="O214" i="1"/>
  <c r="M145" i="3" s="1"/>
  <c r="N214" i="1"/>
  <c r="L145" i="3" s="1"/>
  <c r="M214" i="1"/>
  <c r="K145" i="3" s="1"/>
  <c r="K214" i="1"/>
  <c r="I145" i="3" s="1"/>
  <c r="J214" i="1"/>
  <c r="H145" i="3" s="1"/>
  <c r="I207" i="1"/>
  <c r="I214" i="1" s="1"/>
  <c r="G145" i="3" s="1"/>
  <c r="H207" i="1"/>
  <c r="H214" i="1" s="1"/>
  <c r="F145" i="3" s="1"/>
  <c r="G207" i="1"/>
  <c r="G214" i="1" s="1"/>
  <c r="E145" i="3" s="1"/>
  <c r="F207" i="1"/>
  <c r="F214" i="1" s="1"/>
  <c r="D145" i="3" s="1"/>
  <c r="E207" i="1"/>
  <c r="E214" i="1" s="1"/>
  <c r="C145" i="3" s="1"/>
  <c r="D207" i="1"/>
  <c r="D214" i="1" s="1"/>
  <c r="B145" i="3" s="1"/>
  <c r="O205" i="1"/>
  <c r="O206" i="1" s="1"/>
  <c r="N205" i="1"/>
  <c r="N206" i="1" s="1"/>
  <c r="M205" i="1"/>
  <c r="M206" i="1" s="1"/>
  <c r="L205" i="1"/>
  <c r="L206" i="1" s="1"/>
  <c r="K205" i="1"/>
  <c r="K206" i="1" s="1"/>
  <c r="J205" i="1"/>
  <c r="J206" i="1" s="1"/>
  <c r="I205" i="1"/>
  <c r="I206" i="1" s="1"/>
  <c r="H205" i="1"/>
  <c r="H206" i="1" s="1"/>
  <c r="G205" i="1"/>
  <c r="G206" i="1" s="1"/>
  <c r="F205" i="1"/>
  <c r="F206" i="1" s="1"/>
  <c r="E205" i="1"/>
  <c r="E206" i="1" s="1"/>
  <c r="D205" i="1"/>
  <c r="D206" i="1" s="1"/>
  <c r="O201" i="1"/>
  <c r="O202" i="1" s="1"/>
  <c r="N201" i="1"/>
  <c r="N202" i="1" s="1"/>
  <c r="M201" i="1"/>
  <c r="M202" i="1" s="1"/>
  <c r="L201" i="1"/>
  <c r="L202" i="1" s="1"/>
  <c r="K201" i="1"/>
  <c r="K202" i="1" s="1"/>
  <c r="J201" i="1"/>
  <c r="J202" i="1" s="1"/>
  <c r="I201" i="1"/>
  <c r="I202" i="1" s="1"/>
  <c r="H201" i="1"/>
  <c r="H202" i="1" s="1"/>
  <c r="G201" i="1"/>
  <c r="G202" i="1" s="1"/>
  <c r="F201" i="1"/>
  <c r="F202" i="1" s="1"/>
  <c r="E201" i="1"/>
  <c r="E202" i="1" s="1"/>
  <c r="D201" i="1"/>
  <c r="D202" i="1" s="1"/>
  <c r="O197" i="1"/>
  <c r="O198" i="1" s="1"/>
  <c r="N197" i="1"/>
  <c r="N198" i="1" s="1"/>
  <c r="M197" i="1"/>
  <c r="M198" i="1" s="1"/>
  <c r="L197" i="1"/>
  <c r="L198" i="1" s="1"/>
  <c r="K197" i="1"/>
  <c r="K198" i="1" s="1"/>
  <c r="J197" i="1"/>
  <c r="J198" i="1" s="1"/>
  <c r="I197" i="1"/>
  <c r="I198" i="1" s="1"/>
  <c r="H197" i="1"/>
  <c r="H198" i="1" s="1"/>
  <c r="G197" i="1"/>
  <c r="G198" i="1" s="1"/>
  <c r="F197" i="1"/>
  <c r="F198" i="1" s="1"/>
  <c r="E197" i="1"/>
  <c r="E198" i="1" s="1"/>
  <c r="D197" i="1"/>
  <c r="D198" i="1" s="1"/>
  <c r="O193" i="1"/>
  <c r="O194" i="1" s="1"/>
  <c r="N193" i="1"/>
  <c r="N194" i="1" s="1"/>
  <c r="M193" i="1"/>
  <c r="M194" i="1" s="1"/>
  <c r="L193" i="1"/>
  <c r="L194" i="1" s="1"/>
  <c r="K193" i="1"/>
  <c r="K194" i="1" s="1"/>
  <c r="J193" i="1"/>
  <c r="J194" i="1" s="1"/>
  <c r="I193" i="1"/>
  <c r="I194" i="1" s="1"/>
  <c r="H193" i="1"/>
  <c r="H194" i="1" s="1"/>
  <c r="G193" i="1"/>
  <c r="G194" i="1" s="1"/>
  <c r="F193" i="1"/>
  <c r="F194" i="1" s="1"/>
  <c r="E193" i="1"/>
  <c r="E194" i="1" s="1"/>
  <c r="D193" i="1"/>
  <c r="D194" i="1" s="1"/>
  <c r="D186" i="1"/>
  <c r="E186" i="1" s="1"/>
  <c r="F186" i="1" s="1"/>
  <c r="G186" i="1" s="1"/>
  <c r="H186" i="1" s="1"/>
  <c r="I186" i="1" s="1"/>
  <c r="J186" i="1" s="1"/>
  <c r="K186" i="1" s="1"/>
  <c r="L186" i="1" s="1"/>
  <c r="M186" i="1" s="1"/>
  <c r="N186" i="1" s="1"/>
  <c r="O186" i="1" s="1"/>
  <c r="O179" i="1"/>
  <c r="N179" i="1"/>
  <c r="M179" i="1"/>
  <c r="L179" i="1"/>
  <c r="K179" i="1"/>
  <c r="I179" i="1"/>
  <c r="H179" i="1"/>
  <c r="G179" i="1"/>
  <c r="F179" i="1"/>
  <c r="E179" i="1"/>
  <c r="D179" i="1"/>
  <c r="O177" i="1"/>
  <c r="N177" i="1"/>
  <c r="M177" i="1"/>
  <c r="L177" i="1"/>
  <c r="K177" i="1"/>
  <c r="I177" i="1"/>
  <c r="H177" i="1"/>
  <c r="G177" i="1"/>
  <c r="F177" i="1"/>
  <c r="E177" i="1"/>
  <c r="D177" i="1"/>
  <c r="O175" i="1"/>
  <c r="N175" i="1"/>
  <c r="M175" i="1"/>
  <c r="L175" i="1"/>
  <c r="K175" i="1"/>
  <c r="I175" i="1"/>
  <c r="H175" i="1"/>
  <c r="G175" i="1"/>
  <c r="F175" i="1"/>
  <c r="E175" i="1"/>
  <c r="D175" i="1"/>
  <c r="O173" i="1"/>
  <c r="N173" i="1"/>
  <c r="M173" i="1"/>
  <c r="L173" i="1"/>
  <c r="K173" i="1"/>
  <c r="I173" i="1"/>
  <c r="H173" i="1"/>
  <c r="G173" i="1"/>
  <c r="F173" i="1"/>
  <c r="E173" i="1"/>
  <c r="D173" i="1"/>
  <c r="D165" i="1"/>
  <c r="E165" i="1" s="1"/>
  <c r="F165" i="1" s="1"/>
  <c r="G165" i="1" s="1"/>
  <c r="D163" i="1"/>
  <c r="E163" i="1" s="1"/>
  <c r="F163" i="1" s="1"/>
  <c r="G163" i="1" s="1"/>
  <c r="H163" i="1" s="1"/>
  <c r="I163" i="1" s="1"/>
  <c r="J163" i="1" s="1"/>
  <c r="K163" i="1" s="1"/>
  <c r="L163" i="1" s="1"/>
  <c r="M163" i="1" s="1"/>
  <c r="N163" i="1" s="1"/>
  <c r="O163" i="1" s="1"/>
  <c r="O158" i="1"/>
  <c r="N158" i="1"/>
  <c r="M158" i="1"/>
  <c r="L158" i="1"/>
  <c r="K158" i="1"/>
  <c r="J158" i="1"/>
  <c r="I158" i="1"/>
  <c r="H158" i="1"/>
  <c r="O157" i="1"/>
  <c r="M175" i="3" s="1"/>
  <c r="N157" i="1"/>
  <c r="L175" i="3" s="1"/>
  <c r="M157" i="1"/>
  <c r="K175" i="3" s="1"/>
  <c r="L157" i="1"/>
  <c r="J175" i="3" s="1"/>
  <c r="K157" i="1"/>
  <c r="I175" i="3" s="1"/>
  <c r="I157" i="1"/>
  <c r="G175" i="3" s="1"/>
  <c r="H157" i="1"/>
  <c r="F175" i="3" s="1"/>
  <c r="D150" i="1"/>
  <c r="E150" i="1" s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D149" i="1"/>
  <c r="E149" i="1" s="1"/>
  <c r="O147" i="1"/>
  <c r="N147" i="1"/>
  <c r="M147" i="1"/>
  <c r="L147" i="1"/>
  <c r="K147" i="1"/>
  <c r="J147" i="1"/>
  <c r="I147" i="1"/>
  <c r="H147" i="1"/>
  <c r="G147" i="1"/>
  <c r="F147" i="1"/>
  <c r="E147" i="1"/>
  <c r="D147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D138" i="1"/>
  <c r="E138" i="1" s="1"/>
  <c r="F138" i="1" s="1"/>
  <c r="G138" i="1" s="1"/>
  <c r="H138" i="1" s="1"/>
  <c r="I138" i="1" s="1"/>
  <c r="J138" i="1" s="1"/>
  <c r="K138" i="1" s="1"/>
  <c r="L138" i="1" s="1"/>
  <c r="M138" i="1" s="1"/>
  <c r="N138" i="1" s="1"/>
  <c r="O138" i="1" s="1"/>
  <c r="D137" i="1"/>
  <c r="E137" i="1" s="1"/>
  <c r="O135" i="1"/>
  <c r="N135" i="1"/>
  <c r="M135" i="1"/>
  <c r="L135" i="1"/>
  <c r="K135" i="1"/>
  <c r="J135" i="1"/>
  <c r="I135" i="1"/>
  <c r="H135" i="1"/>
  <c r="G135" i="1"/>
  <c r="F135" i="1"/>
  <c r="E135" i="1"/>
  <c r="D135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111" i="1"/>
  <c r="N111" i="1"/>
  <c r="M111" i="1"/>
  <c r="L111" i="1"/>
  <c r="K111" i="1"/>
  <c r="J111" i="1"/>
  <c r="I111" i="1"/>
  <c r="H111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2" i="1"/>
  <c r="N82" i="1"/>
  <c r="M82" i="1"/>
  <c r="L82" i="1"/>
  <c r="K82" i="1"/>
  <c r="J82" i="1"/>
  <c r="I82" i="1"/>
  <c r="H82" i="1"/>
  <c r="G82" i="1"/>
  <c r="F82" i="1"/>
  <c r="E82" i="1"/>
  <c r="D82" i="1"/>
  <c r="O81" i="1"/>
  <c r="N81" i="1"/>
  <c r="M81" i="1"/>
  <c r="L81" i="1"/>
  <c r="K81" i="1"/>
  <c r="J81" i="1"/>
  <c r="I81" i="1"/>
  <c r="H81" i="1"/>
  <c r="G81" i="1"/>
  <c r="F81" i="1"/>
  <c r="E81" i="1"/>
  <c r="D81" i="1"/>
  <c r="F70" i="1"/>
  <c r="E70" i="1"/>
  <c r="D70" i="1"/>
  <c r="O69" i="1"/>
  <c r="N69" i="1"/>
  <c r="M69" i="1"/>
  <c r="L69" i="1"/>
  <c r="K69" i="1"/>
  <c r="J69" i="1"/>
  <c r="I69" i="1"/>
  <c r="H69" i="1"/>
  <c r="G69" i="1"/>
  <c r="F69" i="1"/>
  <c r="E69" i="1"/>
  <c r="D69" i="1"/>
  <c r="O64" i="1"/>
  <c r="N64" i="1"/>
  <c r="M64" i="1"/>
  <c r="L64" i="1"/>
  <c r="K64" i="1"/>
  <c r="J64" i="1"/>
  <c r="I64" i="1"/>
  <c r="H64" i="1"/>
  <c r="G64" i="1"/>
  <c r="F64" i="1"/>
  <c r="E64" i="1"/>
  <c r="D64" i="1"/>
  <c r="O63" i="1"/>
  <c r="N63" i="1"/>
  <c r="M63" i="1"/>
  <c r="L63" i="1"/>
  <c r="K63" i="1"/>
  <c r="J63" i="1"/>
  <c r="I63" i="1"/>
  <c r="H63" i="1"/>
  <c r="G63" i="1"/>
  <c r="F63" i="1"/>
  <c r="E63" i="1"/>
  <c r="D63" i="1"/>
  <c r="D60" i="1"/>
  <c r="D93" i="1" s="1"/>
  <c r="O57" i="1"/>
  <c r="N57" i="1"/>
  <c r="M57" i="1"/>
  <c r="L57" i="1"/>
  <c r="K57" i="1"/>
  <c r="J57" i="1"/>
  <c r="I57" i="1"/>
  <c r="H57" i="1"/>
  <c r="G57" i="1"/>
  <c r="F57" i="1"/>
  <c r="E57" i="1"/>
  <c r="D57" i="1"/>
  <c r="D30" i="1"/>
  <c r="E30" i="1" s="1"/>
  <c r="F30" i="1" s="1"/>
  <c r="G30" i="1" s="1"/>
  <c r="H30" i="1" s="1"/>
  <c r="I30" i="1" s="1"/>
  <c r="J30" i="1" s="1"/>
  <c r="D29" i="1"/>
  <c r="E29" i="1" s="1"/>
  <c r="O27" i="1"/>
  <c r="N27" i="1"/>
  <c r="M27" i="1"/>
  <c r="L27" i="1"/>
  <c r="K27" i="1"/>
  <c r="J27" i="1"/>
  <c r="I27" i="1"/>
  <c r="H27" i="1"/>
  <c r="G27" i="1"/>
  <c r="F27" i="1"/>
  <c r="E27" i="1"/>
  <c r="D27" i="1"/>
  <c r="D18" i="1"/>
  <c r="D17" i="1"/>
  <c r="O15" i="1"/>
  <c r="N15" i="1"/>
  <c r="M15" i="1"/>
  <c r="L15" i="1"/>
  <c r="K15" i="1"/>
  <c r="J15" i="1"/>
  <c r="I15" i="1"/>
  <c r="H15" i="1"/>
  <c r="G15" i="1"/>
  <c r="F15" i="1"/>
  <c r="E15" i="1"/>
  <c r="D15" i="1"/>
  <c r="G12" i="1"/>
  <c r="H12" i="1" s="1"/>
  <c r="O9" i="1"/>
  <c r="N9" i="1"/>
  <c r="M9" i="1"/>
  <c r="L9" i="1"/>
  <c r="K9" i="1"/>
  <c r="J9" i="1"/>
  <c r="I9" i="1"/>
  <c r="H9" i="1"/>
  <c r="G9" i="1"/>
  <c r="G70" i="1" l="1"/>
  <c r="D33" i="1"/>
  <c r="H71" i="1"/>
  <c r="G92" i="1"/>
  <c r="H72" i="1"/>
  <c r="E60" i="1"/>
  <c r="E93" i="1" s="1"/>
  <c r="D53" i="1"/>
  <c r="D32" i="1"/>
  <c r="D54" i="1"/>
  <c r="F212" i="1"/>
  <c r="E148" i="1"/>
  <c r="D58" i="1"/>
  <c r="L213" i="1"/>
  <c r="D212" i="1"/>
  <c r="D148" i="1"/>
  <c r="L214" i="1"/>
  <c r="J145" i="3" s="1"/>
  <c r="D136" i="1"/>
  <c r="D16" i="1"/>
  <c r="F112" i="1"/>
  <c r="G113" i="1"/>
  <c r="D28" i="1"/>
  <c r="E18" i="1"/>
  <c r="E212" i="1"/>
  <c r="H212" i="1"/>
  <c r="G212" i="1"/>
  <c r="I212" i="1"/>
  <c r="I12" i="1"/>
  <c r="K30" i="1"/>
  <c r="L30" i="1" s="1"/>
  <c r="M30" i="1" s="1"/>
  <c r="N30" i="1" s="1"/>
  <c r="O30" i="1" s="1"/>
  <c r="H165" i="1"/>
  <c r="G166" i="1"/>
  <c r="F29" i="1"/>
  <c r="E28" i="1"/>
  <c r="D211" i="1"/>
  <c r="D213" i="1" s="1"/>
  <c r="G11" i="1"/>
  <c r="E17" i="1"/>
  <c r="E32" i="1" s="1"/>
  <c r="E136" i="1"/>
  <c r="H211" i="1"/>
  <c r="H213" i="1" s="1"/>
  <c r="F137" i="1"/>
  <c r="F149" i="1"/>
  <c r="E166" i="1"/>
  <c r="F166" i="1"/>
  <c r="E211" i="1"/>
  <c r="E213" i="1" s="1"/>
  <c r="I211" i="1"/>
  <c r="I213" i="1" s="1"/>
  <c r="M213" i="1"/>
  <c r="D87" i="1"/>
  <c r="D166" i="1"/>
  <c r="F211" i="1"/>
  <c r="F213" i="1" s="1"/>
  <c r="J213" i="1"/>
  <c r="N213" i="1"/>
  <c r="G211" i="1"/>
  <c r="G213" i="1" s="1"/>
  <c r="K213" i="1"/>
  <c r="O213" i="1"/>
  <c r="I72" i="1" l="1"/>
  <c r="I71" i="1"/>
  <c r="H92" i="1"/>
  <c r="H86" i="1"/>
  <c r="H70" i="1"/>
  <c r="F60" i="1"/>
  <c r="F93" i="1" s="1"/>
  <c r="E58" i="1"/>
  <c r="E87" i="1"/>
  <c r="E54" i="1"/>
  <c r="E33" i="1"/>
  <c r="F17" i="1"/>
  <c r="E53" i="1"/>
  <c r="F18" i="1"/>
  <c r="G112" i="1"/>
  <c r="H113" i="1"/>
  <c r="G149" i="1"/>
  <c r="F148" i="1"/>
  <c r="G137" i="1"/>
  <c r="F136" i="1"/>
  <c r="E16" i="1"/>
  <c r="F28" i="1"/>
  <c r="G29" i="1"/>
  <c r="I165" i="1"/>
  <c r="H166" i="1"/>
  <c r="J12" i="1"/>
  <c r="H11" i="1"/>
  <c r="G10" i="1"/>
  <c r="J71" i="1" l="1"/>
  <c r="I92" i="1"/>
  <c r="I86" i="1"/>
  <c r="I70" i="1"/>
  <c r="J72" i="1"/>
  <c r="G60" i="1"/>
  <c r="G93" i="1" s="1"/>
  <c r="F58" i="1"/>
  <c r="F87" i="1"/>
  <c r="F54" i="1"/>
  <c r="F33" i="1"/>
  <c r="F53" i="1"/>
  <c r="F32" i="1"/>
  <c r="G17" i="1"/>
  <c r="G53" i="1" s="1"/>
  <c r="F16" i="1"/>
  <c r="G18" i="1"/>
  <c r="I113" i="1"/>
  <c r="J113" i="1" s="1"/>
  <c r="K113" i="1" s="1"/>
  <c r="H112" i="1"/>
  <c r="H10" i="1"/>
  <c r="I11" i="1"/>
  <c r="H137" i="1"/>
  <c r="G136" i="1"/>
  <c r="K12" i="1"/>
  <c r="H29" i="1"/>
  <c r="G28" i="1"/>
  <c r="I166" i="1"/>
  <c r="J165" i="1"/>
  <c r="H149" i="1"/>
  <c r="G148" i="1"/>
  <c r="K72" i="1" l="1"/>
  <c r="K71" i="1"/>
  <c r="J92" i="1"/>
  <c r="J86" i="1"/>
  <c r="J70" i="1"/>
  <c r="H60" i="1"/>
  <c r="H93" i="1" s="1"/>
  <c r="G58" i="1"/>
  <c r="G87" i="1"/>
  <c r="G32" i="1"/>
  <c r="G54" i="1"/>
  <c r="G33" i="1"/>
  <c r="H17" i="1"/>
  <c r="H32" i="1" s="1"/>
  <c r="L113" i="1"/>
  <c r="K112" i="1"/>
  <c r="J112" i="1"/>
  <c r="I112" i="1"/>
  <c r="H18" i="1"/>
  <c r="G16" i="1"/>
  <c r="K165" i="1"/>
  <c r="J166" i="1"/>
  <c r="I137" i="1"/>
  <c r="H136" i="1"/>
  <c r="L12" i="1"/>
  <c r="I10" i="1"/>
  <c r="J11" i="1"/>
  <c r="J157" i="1" s="1"/>
  <c r="H175" i="3" s="1"/>
  <c r="I149" i="1"/>
  <c r="H148" i="1"/>
  <c r="I29" i="1"/>
  <c r="H28" i="1"/>
  <c r="L71" i="1" l="1"/>
  <c r="K92" i="1"/>
  <c r="K86" i="1"/>
  <c r="K70" i="1"/>
  <c r="L72" i="1"/>
  <c r="I60" i="1"/>
  <c r="I93" i="1" s="1"/>
  <c r="H58" i="1"/>
  <c r="H87" i="1"/>
  <c r="H54" i="1"/>
  <c r="H33" i="1"/>
  <c r="H16" i="1"/>
  <c r="I17" i="1"/>
  <c r="H53" i="1"/>
  <c r="M113" i="1"/>
  <c r="L112" i="1"/>
  <c r="I18" i="1"/>
  <c r="I136" i="1"/>
  <c r="J137" i="1"/>
  <c r="J10" i="1"/>
  <c r="K11" i="1"/>
  <c r="I148" i="1"/>
  <c r="J149" i="1"/>
  <c r="K149" i="1" s="1"/>
  <c r="L149" i="1" s="1"/>
  <c r="M149" i="1" s="1"/>
  <c r="N149" i="1" s="1"/>
  <c r="O149" i="1" s="1"/>
  <c r="M12" i="1"/>
  <c r="J29" i="1"/>
  <c r="I28" i="1"/>
  <c r="L165" i="1"/>
  <c r="K166" i="1"/>
  <c r="I53" i="1" l="1"/>
  <c r="J17" i="1"/>
  <c r="J32" i="1" s="1"/>
  <c r="M72" i="1"/>
  <c r="M71" i="1"/>
  <c r="L92" i="1"/>
  <c r="L86" i="1"/>
  <c r="L70" i="1"/>
  <c r="J60" i="1"/>
  <c r="J93" i="1" s="1"/>
  <c r="I58" i="1"/>
  <c r="I87" i="1"/>
  <c r="I54" i="1"/>
  <c r="I33" i="1"/>
  <c r="I32" i="1"/>
  <c r="N113" i="1"/>
  <c r="M112" i="1"/>
  <c r="J18" i="1"/>
  <c r="J33" i="1" s="1"/>
  <c r="I16" i="1"/>
  <c r="M165" i="1"/>
  <c r="L166" i="1"/>
  <c r="K137" i="1"/>
  <c r="J136" i="1"/>
  <c r="J28" i="1"/>
  <c r="K29" i="1"/>
  <c r="J148" i="1"/>
  <c r="N12" i="1"/>
  <c r="L11" i="1"/>
  <c r="K10" i="1"/>
  <c r="J53" i="1" l="1"/>
  <c r="K17" i="1"/>
  <c r="K53" i="1" s="1"/>
  <c r="N71" i="1"/>
  <c r="M92" i="1"/>
  <c r="M86" i="1"/>
  <c r="M70" i="1"/>
  <c r="N72" i="1"/>
  <c r="K60" i="1"/>
  <c r="K93" i="1" s="1"/>
  <c r="J87" i="1"/>
  <c r="J58" i="1"/>
  <c r="K18" i="1"/>
  <c r="J54" i="1"/>
  <c r="O113" i="1"/>
  <c r="N112" i="1"/>
  <c r="J16" i="1"/>
  <c r="L10" i="1"/>
  <c r="M11" i="1"/>
  <c r="O12" i="1"/>
  <c r="L137" i="1"/>
  <c r="K136" i="1"/>
  <c r="K148" i="1"/>
  <c r="M166" i="1"/>
  <c r="N165" i="1"/>
  <c r="L29" i="1"/>
  <c r="K28" i="1"/>
  <c r="K32" i="1" l="1"/>
  <c r="L17" i="1"/>
  <c r="L32" i="1" s="1"/>
  <c r="O72" i="1"/>
  <c r="O71" i="1"/>
  <c r="N92" i="1"/>
  <c r="N86" i="1"/>
  <c r="N70" i="1"/>
  <c r="L60" i="1"/>
  <c r="L93" i="1" s="1"/>
  <c r="K87" i="1"/>
  <c r="K58" i="1"/>
  <c r="L18" i="1"/>
  <c r="M18" i="1" s="1"/>
  <c r="K33" i="1"/>
  <c r="K54" i="1"/>
  <c r="K16" i="1"/>
  <c r="O112" i="1"/>
  <c r="M29" i="1"/>
  <c r="L28" i="1"/>
  <c r="O165" i="1"/>
  <c r="O166" i="1" s="1"/>
  <c r="N166" i="1"/>
  <c r="M10" i="1"/>
  <c r="N11" i="1"/>
  <c r="L148" i="1"/>
  <c r="M137" i="1"/>
  <c r="L136" i="1"/>
  <c r="M17" i="1" l="1"/>
  <c r="M16" i="1" s="1"/>
  <c r="L53" i="1"/>
  <c r="O92" i="1"/>
  <c r="O86" i="1"/>
  <c r="O70" i="1"/>
  <c r="L16" i="1"/>
  <c r="M60" i="1"/>
  <c r="M93" i="1" s="1"/>
  <c r="L87" i="1"/>
  <c r="L58" i="1"/>
  <c r="M54" i="1"/>
  <c r="M33" i="1"/>
  <c r="L54" i="1"/>
  <c r="L33" i="1"/>
  <c r="N18" i="1"/>
  <c r="N29" i="1"/>
  <c r="M28" i="1"/>
  <c r="M148" i="1"/>
  <c r="N10" i="1"/>
  <c r="O11" i="1"/>
  <c r="M136" i="1"/>
  <c r="N137" i="1"/>
  <c r="N17" i="1" l="1"/>
  <c r="N53" i="1" s="1"/>
  <c r="M32" i="1"/>
  <c r="M53" i="1"/>
  <c r="N60" i="1"/>
  <c r="N93" i="1" s="1"/>
  <c r="M87" i="1"/>
  <c r="M58" i="1"/>
  <c r="N54" i="1"/>
  <c r="N33" i="1"/>
  <c r="O18" i="1"/>
  <c r="O10" i="1"/>
  <c r="N28" i="1"/>
  <c r="O29" i="1"/>
  <c r="O28" i="1" s="1"/>
  <c r="O148" i="1"/>
  <c r="N148" i="1"/>
  <c r="O137" i="1"/>
  <c r="N136" i="1"/>
  <c r="N32" i="1" l="1"/>
  <c r="N16" i="1"/>
  <c r="O17" i="1"/>
  <c r="O53" i="1" s="1"/>
  <c r="O60" i="1"/>
  <c r="O93" i="1" s="1"/>
  <c r="N87" i="1"/>
  <c r="N58" i="1"/>
  <c r="O54" i="1"/>
  <c r="O33" i="1"/>
  <c r="O136" i="1"/>
  <c r="D216" i="1"/>
  <c r="E216" i="1" s="1"/>
  <c r="F216" i="1" s="1"/>
  <c r="G216" i="1" s="1"/>
  <c r="H216" i="1" s="1"/>
  <c r="I216" i="1" s="1"/>
  <c r="J216" i="1" s="1"/>
  <c r="K216" i="1" s="1"/>
  <c r="L216" i="1" s="1"/>
  <c r="M216" i="1" s="1"/>
  <c r="N216" i="1" s="1"/>
  <c r="O216" i="1" s="1"/>
  <c r="O32" i="1" l="1"/>
  <c r="O16" i="1"/>
  <c r="O58" i="1"/>
  <c r="O8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  <author>Manuel Vega Navarrate</author>
  </authors>
  <commentList>
    <comment ref="A11" authorId="0" shapeId="0" xr:uid="{065D7AD7-D9D5-4B1A-B923-2150E286CAB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A33" authorId="0" shapeId="0" xr:uid="{FE1D217D-B3A5-4C21-A946-EBA4523932D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A34" authorId="0" shapeId="0" xr:uid="{6F53D4D3-AC53-468A-A3EF-74E7C15944C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A40" authorId="0" shapeId="0" xr:uid="{ABBAA34C-19D2-463D-A3EE-393A1DC38BD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A51" authorId="0" shapeId="0" xr:uid="{5FF77A7D-5D14-4AA4-8B0C-37AE5416B96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I51" authorId="1" shapeId="0" xr:uid="{B0F22814-89CF-451B-A43F-6A235126BEDA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J51" authorId="1" shapeId="0" xr:uid="{3DB6A905-8EF8-4BFC-B404-CBCAA0EED69F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K51" authorId="1" shapeId="0" xr:uid="{1033BAF7-2D09-44BE-A9DF-A1A8C08AD27E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L51" authorId="1" shapeId="0" xr:uid="{E8A12871-012F-4231-B044-5C213DBD8E07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M51" authorId="1" shapeId="0" xr:uid="{AA2797C3-B8DE-4332-9238-412039FA9F94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A56" authorId="0" shapeId="0" xr:uid="{B800DA6E-4D7A-4380-A63F-A9CE418D60E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A61" authorId="0" shapeId="0" xr:uid="{961419B0-782F-46E2-9353-1BEB85C0608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A62" authorId="0" shapeId="0" xr:uid="{83845681-7472-4A72-A09E-237C234408F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A65" authorId="0" shapeId="0" xr:uid="{8DF3FED9-520C-4A81-936F-1F9429B84CD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A71" authorId="0" shapeId="0" xr:uid="{48BCB363-519B-4FFF-A144-8AA5E4814E6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79" authorId="0" shapeId="0" xr:uid="{AA299641-B322-4352-8FAA-9225E3CECA4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A84" authorId="0" shapeId="0" xr:uid="{332F6ADD-A96E-47A0-AAC8-EB6E56A8FFE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A91" authorId="0" shapeId="0" xr:uid="{F3047191-A605-4125-90DA-A260FA8B74B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A106" authorId="0" shapeId="0" xr:uid="{5011A555-6F98-4EF4-8B6B-130C4A31F2EE}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A107" authorId="0" shapeId="0" xr:uid="{B8443569-D7A4-4320-95BA-87E5ABE1738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A108" authorId="0" shapeId="0" xr:uid="{3CD1F5F2-FD31-405F-9913-0D327CE17F9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A110" authorId="0" shapeId="0" xr:uid="{A9B24BF2-93DE-467F-B39F-9114372D140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A130" authorId="0" shapeId="0" xr:uid="{6693D0D6-48FE-4F51-BE9E-87556E97933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A138" authorId="0" shapeId="0" xr:uid="{BAECFF50-E05E-4511-A0C3-999C5AD210E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A144" authorId="0" shapeId="0" xr:uid="{0FF23C8A-399C-4FDC-99C1-FAC5ACB9230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A153" authorId="0" shapeId="0" xr:uid="{CD9FB95A-65EF-48B0-970C-6A2A078F1B0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TENER EL DATO DE </t>
        </r>
        <r>
          <rPr>
            <b/>
            <sz val="9"/>
            <color indexed="81"/>
            <rFont val="Tahoma"/>
            <family val="2"/>
          </rPr>
          <t>CONAPO</t>
        </r>
        <r>
          <rPr>
            <sz val="9"/>
            <color indexed="81"/>
            <rFont val="Tahoma"/>
            <family val="2"/>
          </rPr>
          <t xml:space="preserve"> SE INCLUYE.</t>
        </r>
      </text>
    </comment>
    <comment ref="A154" authorId="0" shapeId="0" xr:uid="{FC8E19C8-2E0D-4052-BD8A-E45D0F42D7F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5" authorId="0" shapeId="0" xr:uid="{A2F61999-9889-4C61-9434-7B9A94DA5A5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6" authorId="0" shapeId="0" xr:uid="{A63028B7-C8DA-45E6-B586-8A2D3E0E636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COMUNIDADES, COMITES QUE EL ORGANISMO ATIENDE ADEMAS DE LO CORRESPONDIENTE A SUS CINCURSCRIPCIÓN</t>
        </r>
      </text>
    </comment>
    <comment ref="A157" authorId="0" shapeId="0" xr:uid="{C288F181-B4EE-4D72-869D-6BFFAEBF577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DATO DE COUNIDADES ATENDIDAS ESTIMAR EL NUMERO DE USUARIOS SEGÚN EL PADRON DE CADA UNA</t>
        </r>
      </text>
    </comment>
    <comment ref="A158" authorId="0" shapeId="0" xr:uid="{BD43194E-6456-4DBD-BB8A-88B3C7DBB42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59" authorId="0" shapeId="0" xr:uid="{83D45602-CED9-46B7-9706-5AD2DDB63FA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0" authorId="0" shapeId="0" xr:uid="{086327E1-51D6-45E1-835A-0CA8DAF9CAC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1" authorId="0" shapeId="0" xr:uid="{8C3FEAC4-EFB0-4C7F-A989-B59A8029294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2" authorId="0" shapeId="0" xr:uid="{67EFF10D-5E0A-48C5-93EF-6BBAC9DD0BA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3" authorId="0" shapeId="0" xr:uid="{2987CCC6-A27F-4FCB-A62D-EF92790AEF5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4" authorId="0" shapeId="0" xr:uid="{AA84A5C6-0BF4-4946-934F-33CEB06A6C5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5" authorId="0" shapeId="0" xr:uid="{C72D703B-9480-4C9F-A6BE-6ED097593F4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LA LONGITUD REHABILITADA EN EL MES EN KM</t>
        </r>
      </text>
    </comment>
    <comment ref="A166" authorId="0" shapeId="0" xr:uid="{F2803744-0940-40B2-8678-191E8893A75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REHABILITAR O REPARAR MICROMEDIDORES</t>
        </r>
      </text>
    </comment>
    <comment ref="A167" authorId="0" shapeId="0" xr:uid="{F11CB0FB-8BE4-4F76-BCC6-9FD9237FF0D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LOS MICROMEDIDORES NUEVOS INSTALADOS POR SUSTITUCIÓN, A SOLICITUD DEL USUARIO , NUEVOS CONTRATOS, ETC.</t>
        </r>
      </text>
    </comment>
    <comment ref="A168" authorId="0" shapeId="0" xr:uid="{47CF82E4-E516-4E83-A946-7D0424D3C5A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 LOS QUE EFECTIVAMENTE SE LES TOMA LECTURA, NO INCLUYE LOS ESTIMADOS, PROMEDIADOS, DESTRUIDOS, SIN FUNCIONAR, ETC.  </t>
        </r>
        <r>
          <rPr>
            <b/>
            <sz val="9"/>
            <color indexed="81"/>
            <rFont val="Tahoma"/>
            <family val="2"/>
          </rPr>
          <t>SOLO FUNCIONANDO</t>
        </r>
      </text>
    </comment>
    <comment ref="A170" authorId="0" shapeId="0" xr:uid="{0672E894-2B03-4E06-AA66-C113DC8338B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MACROMEDIDORES INSTALADOS EN EL MES</t>
        </r>
      </text>
    </comment>
    <comment ref="A171" authorId="0" shapeId="0" xr:uid="{397D0500-07C7-4A86-9E43-6190CE52048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QUE SI FUNCIONEN Y ARROJEN LECTURAS CORRECTAMENTE. SEGÚN BITACORAS</t>
        </r>
      </text>
    </comment>
    <comment ref="A173" authorId="0" shapeId="0" xr:uid="{4F5A057E-9497-4D87-A09F-6A7AF39FF44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INVENTARIO DE FUENTES ACTIVAS Y EN DESUSO, TANQUES DE ALMACENAMIENTO O PILAS Y CAPACIDAD DE ALMACENAMIENTO. </t>
        </r>
      </text>
    </comment>
    <comment ref="A186" authorId="0" shapeId="0" xr:uid="{2566DF81-A36B-4491-817B-DD3F167FD40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A197" authorId="0" shapeId="0" xr:uid="{F90F4D87-B59D-4FDB-89AC-45E71A2B7FAC}">
      <text>
        <r>
          <rPr>
            <b/>
            <sz val="9"/>
            <color indexed="81"/>
            <rFont val="Tahoma"/>
            <family val="2"/>
          </rPr>
          <t xml:space="preserve">MANUELVAL:
</t>
        </r>
        <r>
          <rPr>
            <sz val="9"/>
            <color indexed="81"/>
            <rFont val="Tahoma"/>
            <family val="2"/>
          </rPr>
          <t>QUE SE INVOLUCREN EN EL TEMA</t>
        </r>
      </text>
    </comment>
    <comment ref="A198" authorId="0" shapeId="0" xr:uid="{6D3FCF69-EEAA-4D95-8B76-2C4A7987506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199" authorId="0" shapeId="0" xr:uid="{4E4738CB-8F04-4D0F-9EF8-40D52221585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0" authorId="0" shapeId="0" xr:uid="{44496AC5-A04B-44A3-A9FA-840949EC761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1" authorId="0" shapeId="0" xr:uid="{5B574554-6D6F-494B-99B2-CC5CA9892A3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2" authorId="0" shapeId="0" xr:uid="{18194475-E725-41D0-8A19-C705C24A478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3" authorId="0" shapeId="0" xr:uid="{A549C366-9B22-4B57-AA72-4C1F87E4353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A204" authorId="0" shapeId="0" xr:uid="{65F385DF-1DFA-4466-BE55-A33C0AC2F69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  <author>Presidencia</author>
  </authors>
  <commentList>
    <comment ref="C8" authorId="0" shapeId="0" xr:uid="{1D849081-8D71-48C2-9E17-0EA69CB1C45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4" authorId="0" shapeId="0" xr:uid="{58ECA838-E6E0-4496-B71A-C673C76E7B9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0" authorId="0" shapeId="0" xr:uid="{B0E71B7D-30B7-41DE-AB01-B0D827817ED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5" authorId="0" shapeId="0" xr:uid="{5EDA939D-CEB5-42A3-963A-B21AA71A92E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AQUELLA AGUA ENTREGADA Y NO FACTURADA PERO SI REGISTRADA EN BITACORAS (M3 ENTREGADOS POR OTROS MEDIOS DISTINTOS A LA LINEAS DOMICILIARIAS O QUE NO SE COBRA POR ALGUNA RAZON Y NO ENTRAN AL SISTEMA COMERCIAL)</t>
        </r>
      </text>
    </comment>
    <comment ref="C26" authorId="0" shapeId="0" xr:uid="{1E17F289-F54A-4886-9B58-25115D52026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AQUELLA AGUA ENTREGADA Y NO FACTURADA PERO SI REGISTRADA EN BITACORAS (M3 ENTREGADOS POR OTROS MEDIOS DISTINTOS A LA LINEAS DOMICILIARIAS O QUE NO SE COBRA POR ALGUNA RAZON Y NO ENTRAN AL SISTEMA COMERCIAL)</t>
        </r>
      </text>
    </comment>
    <comment ref="C35" authorId="0" shapeId="0" xr:uid="{0DC65A56-E881-483B-9516-C80C2858FF4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1" authorId="0" shapeId="0" xr:uid="{DBD9B325-F734-4390-809B-A1DA97EE4BF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6" authorId="0" shapeId="0" xr:uid="{25DD3D45-A2BF-4846-B724-AE786C5EBB7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INFORMATIVO, SALE DEL REUMEN OPERATIVO DEL SISTEMA COMERCIAL OMLECTURA CEL</t>
        </r>
      </text>
    </comment>
    <comment ref="C47" authorId="0" shapeId="0" xr:uid="{73952767-6392-4101-AA03-D9CC7A45329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INFORMATIVO, SALE DEL REUMEN OPERATIVO DEL SISTEMA COMERCIAL OMLECTURA CEL</t>
        </r>
      </text>
    </comment>
    <comment ref="C56" authorId="0" shapeId="0" xr:uid="{9DEE72C6-B331-4095-B950-6C2CED54E70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62" authorId="0" shapeId="0" xr:uid="{4004A152-8213-4024-9155-6C317254DB0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B67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67" authorId="0" shapeId="0" xr:uid="{B050D172-9164-4409-91D8-A87B9CEF277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68" authorId="0" shapeId="0" xr:uid="{844889C0-644F-4C16-9512-B4799710A27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B73" authorId="1" shapeId="0" xr:uid="{1D269FCE-1210-470B-9C0C-51D407C5B922}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73" authorId="0" shapeId="0" xr:uid="{FD7D49B1-097C-4547-A6F1-DB0165916FE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74" authorId="0" shapeId="0" xr:uid="{CDB297A6-EA7C-48EA-BBED-11130382426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80" authorId="0" shapeId="0" xr:uid="{28D16E19-4DC3-4FE1-9912-D02DBFFF20A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94" authorId="0" shapeId="0" xr:uid="{AE906E3B-461A-44FD-97AF-EE3302A885B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EL DATO A 2019 QUE SE TENGA DE </t>
        </r>
        <r>
          <rPr>
            <b/>
            <sz val="9"/>
            <color indexed="81"/>
            <rFont val="Tahoma"/>
            <family val="2"/>
          </rPr>
          <t>CONAPO</t>
        </r>
      </text>
    </comment>
    <comment ref="C99" authorId="0" shapeId="0" xr:uid="{D0604BD9-2108-4DB4-87B9-D818FE3FF5A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 RESUMEN OPERATIVO DEL SISTEMA LECTURA CEL O COMERCIAL</t>
        </r>
      </text>
    </comment>
    <comment ref="C105" authorId="0" shapeId="0" xr:uid="{2F721D48-FE06-4724-BBC7-7D9BF387043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6" authorId="0" shapeId="0" xr:uid="{6A29838E-9FD3-4391-95BE-2C442E8BE1C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7" authorId="0" shapeId="0" xr:uid="{2266FC93-58DF-4D39-80B5-FDBB92FD482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8" authorId="0" shapeId="0" xr:uid="{5B423203-0831-4BD0-8BF2-557EAA56C96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10" authorId="0" shapeId="0" xr:uid="{9B1E6417-8AF4-4556-98E6-E7AE9E87A1F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16" authorId="0" shapeId="0" xr:uid="{4C5497D8-277E-40DC-A605-DF0A3B71A0A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21" authorId="0" shapeId="0" xr:uid="{6A9815EA-BAC3-4432-830F-106A17A89AF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2" authorId="0" shapeId="0" xr:uid="{B025353B-EE65-4FD7-911E-D2608BF41B7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7" authorId="0" shapeId="0" xr:uid="{AAC0F157-5FD8-4A3B-84C3-237FC5D30B7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28" authorId="0" shapeId="0" xr:uid="{E18028F3-0562-4F54-ABF2-55EC169977A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3" authorId="0" shapeId="0" xr:uid="{67484519-573B-4963-964A-FC365D079EF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4" authorId="0" shapeId="0" xr:uid="{DB277420-5BD9-4A5C-9E4F-754E3ACA267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9" authorId="0" shapeId="0" xr:uid="{736622AF-80D6-46D7-97F8-9CA7E99E933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0" authorId="0" shapeId="0" xr:uid="{95C599D5-40E7-4EA6-812D-D78A95BE182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5" authorId="0" shapeId="0" xr:uid="{9EE5524A-3BA4-4E35-86BD-166925F7B18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6" authorId="0" shapeId="0" xr:uid="{3B53EECF-27A1-466B-A4A5-363219EA142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55" authorId="0" shapeId="0" xr:uid="{8C6597FA-A489-4DD4-A9CE-9316341B8B3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72" authorId="0" shapeId="0" xr:uid="{B30DBF7D-D61E-4723-A40F-971223846E9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AQUELLAS EN LAS QUE SI SE MIDE EL CONSUMO DE AGUA</t>
        </r>
      </text>
    </comment>
    <comment ref="C174" authorId="0" shapeId="0" xr:uid="{D677D5C6-191D-48C0-AA6F-C62C2E67185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NO SE PUEDE MEDIR CON PRECISIÓN EL CONSUMO</t>
        </r>
      </text>
    </comment>
    <comment ref="C176" authorId="0" shapeId="0" xr:uid="{0F5C43D3-E423-4BA8-A67E-82D5E19E829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REGISRTADAS COMO SERVICIO DE CUOTA FIJA EN SU PADRON</t>
        </r>
      </text>
    </comment>
    <comment ref="C178" authorId="0" shapeId="0" xr:uid="{7CE4E748-DE18-4167-881F-00E7FED0CD8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ESTEN CATALOGADAS COMO ESTIMACIONES, MEDIDOR DAÑADO, PROMEDIO O CUOTA FIJA PERO INCLUIDAS EN EL PADRON DE SERVICIO MEDIDO, ETC.</t>
        </r>
      </text>
    </comment>
    <comment ref="C181" authorId="0" shapeId="0" xr:uid="{937F7099-CD43-43E0-BED1-498CEB346D7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85" authorId="0" shapeId="0" xr:uid="{B252866A-47A8-438E-BE4A-B0EB006B4C4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efectivamente recuperado en el mes</t>
        </r>
      </text>
    </comment>
    <comment ref="C187" authorId="0" shapeId="0" xr:uid="{BFDD7FE1-934D-463E-9399-68079FF897E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pendiente de recuperar según mis registros contables y que si se pueda recuperar. NO INCLUIR SALDOS VENCIDOS Y SIN GESTION</t>
        </r>
      </text>
    </comment>
    <comment ref="B19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Cualquier empleado tiene que caer en alguna de estas categorpias para que el 100% de los empleados este reflejados</t>
        </r>
      </text>
    </comment>
    <comment ref="C192" authorId="0" shapeId="0" xr:uid="{3F12BA6F-5DB8-4771-B176-37CF1C8761D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196" authorId="0" shapeId="0" xr:uid="{E7FF0934-4C5F-4FC4-8CA1-A6802DD755D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0" authorId="0" shapeId="0" xr:uid="{49756CE1-A49E-4DE5-8708-A347DE874BC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4" authorId="0" shapeId="0" xr:uid="{978B801A-9685-4763-BF35-8E7B087C1CC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17" authorId="0" shapeId="0" xr:uid="{086176AE-525B-466C-8EDF-0A042C1EFF2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SALDOS SEGÚN BALANZA DE COMPROBACIÓN Y ETIQUETADOS PARA EL DESTINO DESCRITO</t>
        </r>
      </text>
    </comment>
  </commentList>
</comments>
</file>

<file path=xl/sharedStrings.xml><?xml version="1.0" encoding="utf-8"?>
<sst xmlns="http://schemas.openxmlformats.org/spreadsheetml/2006/main" count="659" uniqueCount="334">
  <si>
    <t>INDICADORES MENSUALES JMAS</t>
  </si>
  <si>
    <t>UNIDAD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</si>
  <si>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</si>
  <si>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</si>
  <si>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</si>
  <si>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</si>
  <si>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</si>
  <si>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</si>
  <si>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</si>
  <si>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</si>
  <si>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</si>
  <si>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</si>
  <si>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</si>
  <si>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</si>
  <si>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</si>
  <si>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M</t>
    </r>
    <r>
      <rPr>
        <b/>
        <vertAlign val="superscript"/>
        <sz val="20"/>
        <color theme="1"/>
        <rFont val="Calibri"/>
        <family val="2"/>
        <scheme val="minor"/>
      </rPr>
      <t>3</t>
    </r>
  </si>
  <si>
    <t xml:space="preserve">Volumen Producido (Alumbrado)         </t>
  </si>
  <si>
    <t>Acumulado 2018</t>
  </si>
  <si>
    <t xml:space="preserve">Volumen  TOTAL Facturado                </t>
  </si>
  <si>
    <t>Volumen Facturado al Sector Público                  M3</t>
  </si>
  <si>
    <t>Eficiencia Física</t>
  </si>
  <si>
    <t>Mensual</t>
  </si>
  <si>
    <t>$</t>
  </si>
  <si>
    <t xml:space="preserve">Importe Cobrado al sector público </t>
  </si>
  <si>
    <t>Eficiencia Comercial</t>
  </si>
  <si>
    <t xml:space="preserve">Volumen de Agua Tratada                        </t>
  </si>
  <si>
    <t xml:space="preserve"> </t>
  </si>
  <si>
    <t xml:space="preserve">Volumen de Agua Tratada Facturado </t>
  </si>
  <si>
    <t xml:space="preserve">Volumen de Agua Tratada Facturada al Sector Público       </t>
  </si>
  <si>
    <t xml:space="preserve">Importe facturado de agua tratada excepto sector público </t>
  </si>
  <si>
    <t>Importe facturado de agua tratada al sector público</t>
  </si>
  <si>
    <t>Importe Cobrado de agua tratada al todos menos sector publico</t>
  </si>
  <si>
    <t>Importe  cobrado e agua tratada al sector público</t>
  </si>
  <si>
    <t>Indice de agua tratada</t>
  </si>
  <si>
    <t>Volumen tratado / Volumen facturado  (Agua Potable)</t>
  </si>
  <si>
    <t>Volumen Tratado Facturado / Volumen Tratado TOTAL</t>
  </si>
  <si>
    <t>Datos Comerciales</t>
  </si>
  <si>
    <t>Eficiencia de corte</t>
  </si>
  <si>
    <t># de usuarios con servicio continuo</t>
  </si>
  <si>
    <t>% de usuarios con servicio continuo</t>
  </si>
  <si>
    <t># de tomas (total tomas)</t>
  </si>
  <si>
    <t># de tomas con medidor</t>
  </si>
  <si>
    <t>% de tomas con medidor</t>
  </si>
  <si>
    <t># de tomas sin medidor</t>
  </si>
  <si>
    <t>% de tomas sin medidor</t>
  </si>
  <si>
    <t># de tomas sin medidor y cobrando cuota fija</t>
  </si>
  <si>
    <t>% de tomas sin medidor y cobrando cuota fija</t>
  </si>
  <si>
    <t>% de tomas con medidor y cobrando cuota fija.</t>
  </si>
  <si>
    <t>Importe de IVA recuperado en el mes (ya depositado)</t>
  </si>
  <si>
    <t xml:space="preserve">Importe de IVA por recuperar </t>
  </si>
  <si>
    <t># de comités de agua en su jurisdicción</t>
  </si>
  <si>
    <t>Cualquier empleado de planta o eventual, por honorarios o de cualquier otro tipo, anotarlo en alguna de estas categorías</t>
  </si>
  <si>
    <t>Número de empleados sindicalizados activos</t>
  </si>
  <si>
    <t>Reducción en número</t>
  </si>
  <si>
    <t>Reducción en porcentaje</t>
  </si>
  <si>
    <t>Número de empleados de confianza activos</t>
  </si>
  <si>
    <t>Al cierre del mes</t>
  </si>
  <si>
    <t>Número de empleados sindicalizados pensionados o jubilados</t>
  </si>
  <si>
    <t>Número de empleados de confianza pensionados o jubilados</t>
  </si>
  <si>
    <t xml:space="preserve">Número de empleados cada mil tomas </t>
  </si>
  <si>
    <t>Con Pensionados y jubilados</t>
  </si>
  <si>
    <t>Sin pensionados y jubilados</t>
  </si>
  <si>
    <t xml:space="preserve">Acumulado en el año </t>
  </si>
  <si>
    <t xml:space="preserve">$ </t>
  </si>
  <si>
    <t>Aguinaldos al cierre de mes</t>
  </si>
  <si>
    <t>DFEA al cierre de mes</t>
  </si>
  <si>
    <t>Gasto de Inversión Recursos Propios</t>
  </si>
  <si>
    <t xml:space="preserve">Saldo en bancos privisionado para: </t>
  </si>
  <si>
    <t>Inversión en bancos al cierre de mes</t>
  </si>
  <si>
    <t>Mensual 2019</t>
  </si>
  <si>
    <t>Acumulado 2019</t>
  </si>
  <si>
    <t>Acumulado en el año 2019</t>
  </si>
  <si>
    <t>Costo por M3 alumbrado 2019</t>
  </si>
  <si>
    <t>Mensual PIGOO</t>
  </si>
  <si>
    <t>Subtotal Empleados Activos 2016</t>
  </si>
  <si>
    <t>Subtotal emp. pensionados o jubilados 2016</t>
  </si>
  <si>
    <t>Gran Total de 2019</t>
  </si>
  <si>
    <t>Gran Total de 2016</t>
  </si>
  <si>
    <t>Volumen Cobrado al Sector Público                  M3</t>
  </si>
  <si>
    <t>Eficiencia cobranza  (sólo sector público)</t>
  </si>
  <si>
    <t>Eficiencia Cobranza GLOBAL</t>
  </si>
  <si>
    <t>Consumo en KWH</t>
  </si>
  <si>
    <t>Costo y consumo de Energía únicamente de Producción y Distribución del Volumen de Agua , Saneamiento y Alcantarillado</t>
  </si>
  <si>
    <t>KWH</t>
  </si>
  <si>
    <t>Costo Promedio Kwh</t>
  </si>
  <si>
    <t>Importe facturado al sector público</t>
  </si>
  <si>
    <t>Importe facturado a todos los usuarios excepto al  Sector Publico</t>
  </si>
  <si>
    <t># de tomas con clave  de medición (estimado, promedio, etc)</t>
  </si>
  <si>
    <t>Volumen Entregado No Facturado (Pipas, POI, Etc.)</t>
  </si>
  <si>
    <t>Habitantes (CONAPO)</t>
  </si>
  <si>
    <t>Dotación Habitante/Dia</t>
  </si>
  <si>
    <t>Consumo Habitante/Dia</t>
  </si>
  <si>
    <t>Mensual 2020</t>
  </si>
  <si>
    <t>Crecimiento mensual vs. 2019</t>
  </si>
  <si>
    <t>Crecimiento Acumulado vs. 2019</t>
  </si>
  <si>
    <t>Acumulado 2020</t>
  </si>
  <si>
    <t>Acumulado en el año 2020</t>
  </si>
  <si>
    <t>Costo por M3 alumbrado 2020</t>
  </si>
  <si>
    <t>Cortes efectivos del mes 2020</t>
  </si>
  <si>
    <t>Cortes acumulados en 2020</t>
  </si>
  <si>
    <t>Reconexiones del mes 2020 (independientemente del mes en que se hizo el corte)</t>
  </si>
  <si>
    <t>Reconexiones acumulado 2020</t>
  </si>
  <si>
    <t>Importe de multas cobradas en el mes 2020</t>
  </si>
  <si>
    <t>Importe de multas cobradas acumuladas 2020</t>
  </si>
  <si>
    <t>Eficiencia eventos de pago 2020</t>
  </si>
  <si>
    <t>importe de IVA recuperado acumulado en el año 2020</t>
  </si>
  <si>
    <t>Al cierre del mes 2020</t>
  </si>
  <si>
    <t xml:space="preserve">Septiembre 2016 </t>
  </si>
  <si>
    <t>Subtotal Empleados Activos 2020</t>
  </si>
  <si>
    <t>Subtotal emp. pensionados o jubilados 2020</t>
  </si>
  <si>
    <t>Eficiencia Cobranza s/ sector público</t>
  </si>
  <si>
    <t>Importe TOTAL cobrado a Tiempo</t>
  </si>
  <si>
    <t>Importe TOTAL cobrado de Rezago</t>
  </si>
  <si>
    <t>Cuentas con Rezago</t>
  </si>
  <si>
    <t>Comercial</t>
  </si>
  <si>
    <t>Domestico</t>
  </si>
  <si>
    <t>Industrial</t>
  </si>
  <si>
    <t>Publico</t>
  </si>
  <si>
    <t>Acumulado 2017</t>
  </si>
  <si>
    <t>Acumulado 2016</t>
  </si>
  <si>
    <t>Escolar</t>
  </si>
  <si>
    <t>KWH por m3</t>
  </si>
  <si>
    <t>Usuarios con Descuento Social</t>
  </si>
  <si>
    <t>Importe cobrado con Descuento Social</t>
  </si>
  <si>
    <t>PROGRAMA DE INDICADORES DE GESTION DE ORGANISMOS OPERADORES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</si>
  <si>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</si>
  <si>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</si>
  <si>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</si>
  <si>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</si>
  <si>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</si>
  <si>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</si>
  <si>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</si>
  <si>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</si>
  <si>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</si>
  <si>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</si>
  <si>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</si>
  <si>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</si>
  <si>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</si>
  <si>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</si>
  <si>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</si>
  <si>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</si>
  <si>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</si>
  <si>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</si>
  <si>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</si>
  <si>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</si>
  <si>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</si>
  <si>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</si>
  <si>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</si>
  <si>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</si>
  <si>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</si>
  <si>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</t>
  </si>
  <si>
    <t>c) Ajustes</t>
  </si>
  <si>
    <t>B) Ingresos indirectos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</si>
  <si>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</si>
  <si>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</si>
  <si>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</si>
  <si>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</si>
  <si>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</si>
  <si>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</si>
  <si>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(5% JCAS)</t>
  </si>
  <si>
    <t>iv) Resto de los Servicios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</si>
  <si>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</si>
  <si>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</si>
  <si>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</si>
  <si>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</si>
  <si>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</si>
  <si>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</si>
  <si>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</si>
  <si>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</si>
  <si>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</si>
  <si>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</si>
  <si>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</si>
  <si>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Provisiones</t>
  </si>
  <si>
    <t>Inversiones</t>
  </si>
  <si>
    <t>Activo Circulante</t>
  </si>
  <si>
    <t xml:space="preserve">       Activo Total</t>
  </si>
  <si>
    <t>Pasivo Circulante</t>
  </si>
  <si>
    <t xml:space="preserve">       Pasivo Total</t>
  </si>
  <si>
    <t xml:space="preserve">      Saldo DFEA pendente de pago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</si>
  <si>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</si>
  <si>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</si>
  <si>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</si>
  <si>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</si>
  <si>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</si>
  <si>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</si>
  <si>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</si>
  <si>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N/A</t>
  </si>
  <si>
    <t>Agua Potable</t>
  </si>
  <si>
    <r>
      <t>Volumen de agua producida en m</t>
    </r>
    <r>
      <rPr>
        <b/>
        <vertAlign val="superscript"/>
        <sz val="11"/>
        <color indexed="8"/>
        <rFont val="Arial"/>
        <family val="2"/>
      </rPr>
      <t>3</t>
    </r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</si>
  <si>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</si>
  <si>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</si>
  <si>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</si>
  <si>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</si>
  <si>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</si>
  <si>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</si>
  <si>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</si>
  <si>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</si>
  <si>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</si>
  <si>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</si>
  <si>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</si>
  <si>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</si>
  <si>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</si>
  <si>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</si>
  <si>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</si>
  <si>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</si>
  <si>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</si>
  <si>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</si>
  <si>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</si>
  <si>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</si>
  <si>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Facturación de Agua, Alcant. y Saneamiento en $ (A+B+C+D+E)</t>
  </si>
  <si>
    <t>Cobrado de Agua, Alcant. y Saneamiento en $ (A+B+C+D+E)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</si>
  <si>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</si>
  <si>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</si>
  <si>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</si>
  <si>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</si>
  <si>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</si>
  <si>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</si>
  <si>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</si>
  <si>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</si>
  <si>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</si>
  <si>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</si>
  <si>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</si>
  <si>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</si>
  <si>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</si>
  <si>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 xml:space="preserve"> N/A </t>
  </si>
  <si>
    <t>Total de descargas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</si>
  <si>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</si>
  <si>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</si>
  <si>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</si>
  <si>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</si>
  <si>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</si>
  <si>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</si>
  <si>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</si>
  <si>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</si>
  <si>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</si>
  <si>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</si>
  <si>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</si>
  <si>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 xml:space="preserve">              Domiciliaria $   _____m3</t>
  </si>
  <si>
    <t xml:space="preserve">               Comercial $  _____m3</t>
  </si>
  <si>
    <t xml:space="preserve">               Industrial $   _____m3</t>
  </si>
  <si>
    <t>A los usuarios de cuota fija se asigna volumen estimado m3/mes</t>
  </si>
  <si>
    <t xml:space="preserve">Coberturas de servicios </t>
  </si>
  <si>
    <t>No. habitantes según censo de INEGI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</si>
  <si>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</si>
  <si>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</si>
  <si>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</si>
  <si>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</si>
  <si>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</si>
  <si>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</si>
  <si>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</si>
  <si>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</si>
  <si>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</si>
  <si>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</si>
  <si>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</si>
  <si>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</si>
  <si>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</si>
  <si>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</si>
  <si>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</si>
  <si>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</si>
  <si>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</si>
  <si>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</si>
  <si>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</si>
  <si>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</si>
  <si>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</si>
  <si>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</si>
  <si>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</si>
  <si>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</si>
  <si>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</si>
  <si>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</si>
  <si>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</si>
  <si>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</si>
  <si>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</si>
  <si>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</si>
  <si>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</si>
  <si>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</si>
  <si>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</si>
  <si>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</si>
  <si>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</si>
  <si>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</si>
  <si>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</si>
  <si>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</si>
  <si>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</si>
  <si>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</si>
  <si>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</si>
  <si>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</si>
  <si>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</si>
  <si>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 xml:space="preserve">Volumen Cobrado a Tiempo         </t>
  </si>
  <si>
    <t xml:space="preserve">Volumen Cobrado de Rezago         </t>
  </si>
  <si>
    <t>Pago Electricidad Mensual 2020</t>
  </si>
  <si>
    <t>Pago Electricidad Menusal 2019</t>
  </si>
  <si>
    <t>Eventos de pago a tiempo del mes 2020</t>
  </si>
  <si>
    <t>Eventos de pago a tiempo del mes 2019</t>
  </si>
  <si>
    <t># de medidores nuevos instalados en usuarios en el mes</t>
  </si>
  <si>
    <t># de medidores nuevos instalados en usuarios acumulado</t>
  </si>
  <si>
    <t xml:space="preserve">iii) DFEA Pagados </t>
  </si>
  <si>
    <t>d) Apoyos y transferencias y Otros</t>
  </si>
  <si>
    <r>
      <t>Volumen de Almacenamiento de los Tanques m</t>
    </r>
    <r>
      <rPr>
        <vertAlign val="superscript"/>
        <sz val="11"/>
        <color rgb="FFFF0000"/>
        <rFont val="Arial"/>
        <family val="2"/>
      </rPr>
      <t>3</t>
    </r>
  </si>
  <si>
    <r>
      <t xml:space="preserve">B) Pensionados y jubilados </t>
    </r>
    <r>
      <rPr>
        <sz val="12"/>
        <color rgb="FFFF0000"/>
        <rFont val="Arial"/>
        <family val="2"/>
      </rPr>
      <t xml:space="preserve">  Confianza</t>
    </r>
  </si>
  <si>
    <t>EFICIENCIA FISICA</t>
  </si>
  <si>
    <t>Saltillo</t>
  </si>
  <si>
    <t>Monterrey</t>
  </si>
  <si>
    <t>Eficiencia Cobranza</t>
  </si>
  <si>
    <t>EFICIENCIA COBRANZA</t>
  </si>
  <si>
    <t>EFICIENCIA COMERCIAL</t>
  </si>
  <si>
    <t>DOTACION Y CONSUMO</t>
  </si>
  <si>
    <t>Dotación l/h/d</t>
  </si>
  <si>
    <t>Consumo l/h/d</t>
  </si>
  <si>
    <t>COMPORTAMIENTO DE REZAGO</t>
  </si>
  <si>
    <t>No. De Cortes Efectivos del Mes</t>
  </si>
  <si>
    <t>Con  Medición</t>
  </si>
  <si>
    <t>Servicio Continuo</t>
  </si>
  <si>
    <t>Padron Usuarios Total</t>
  </si>
  <si>
    <t>NÚMERO DE EMPLEADOS POR CADA 100 TOMAS</t>
  </si>
  <si>
    <t>PADRON DE USUARIOS</t>
  </si>
  <si>
    <t>No. Empleados X cada 1,000 Tomas</t>
  </si>
  <si>
    <t>ENERGÍA ELÉCTRICA</t>
  </si>
  <si>
    <r>
      <t>Costo Por m</t>
    </r>
    <r>
      <rPr>
        <vertAlign val="superscript"/>
        <sz val="11"/>
        <color theme="1"/>
        <rFont val="Calibri"/>
        <family val="2"/>
        <scheme val="minor"/>
      </rPr>
      <t>3</t>
    </r>
  </si>
  <si>
    <t>Costo Promedio KWH</t>
  </si>
  <si>
    <r>
      <t>KWH por m</t>
    </r>
    <r>
      <rPr>
        <vertAlign val="superscript"/>
        <sz val="11"/>
        <color theme="1"/>
        <rFont val="Calibri"/>
        <family val="2"/>
        <scheme val="minor"/>
      </rPr>
      <t>3</t>
    </r>
  </si>
  <si>
    <t>miles de usuarios</t>
  </si>
  <si>
    <t>Eficiencia Cobranza Agua Tratada (incluyendo SP)</t>
  </si>
  <si>
    <t>Precio Venta</t>
  </si>
  <si>
    <t>* NO REPETIR LAS BONIFICACIONES, DESCUENTOS Y AJUSTES EN LOS GASTOS OPERATIVOS.</t>
  </si>
  <si>
    <t>Costo c/ Operación</t>
  </si>
  <si>
    <t>Costo c/ Inversión</t>
  </si>
  <si>
    <r>
      <t>VALOR 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</si>
  <si>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t>Cobertura de Alcantarillado</t>
  </si>
  <si>
    <t>- SE CAPTURAN LOS QUE SE DESCRIBE CON LETRAS ROJAS Y EN BASE A LOS COMENTARIOS INCLUIDOS EN CADA TÍTULO.</t>
  </si>
  <si>
    <t>- LLENAR TODOS LOS CONCPETOS AUN CUANDO NO APLIQUEN (N/A)</t>
  </si>
  <si>
    <t>- LA INFORMACIÓN QUE CAPTUREN DEBE SER ANALIZADO PREVIAMENTE POR LOS TITULARES YA QUE ES SU OBLIGACIÓN EL CONTENIDO Y LA LEY GENERAL DE RESPONSABILIDADES ADMINISTRATIVAS CONTEMPLA SANSIONES EN CASO DE QUE LA INFORMACIÓN NO SE MANDE DE MANERA CORRECTA O PRESENTE INFORMACIÓN FALSA Y LO CONTEMPA COMO DESACATO ART. 63 DE LA CITADA LEY.</t>
  </si>
  <si>
    <t>- AL FINAL SE INCLUYEN ALGUNAS GRAFICAS DE INDICADORES QUE MUESTRAN EL COMPORTAMIENTO MENSUAL, PARA QUE NO SE HAGAN MODIFICACIONES Y SOLO SE CAPTURE LO SEÑALADO.</t>
  </si>
  <si>
    <t>JUNTA RURAL DE AGUA Y SANEAMIENTO DE ALVARO OBREGON</t>
  </si>
  <si>
    <t>Ejercicio Fiscal 2022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</si>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</sst>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_-&quot;$&quot;* #,##0_-;\-&quot;$&quot;* #,##0_-;_-&quot;$&quot;* &quot;-&quot;??_-;_-@_-"/>
    <numFmt numFmtId="169" formatCode="0.0"/>
    <numFmt numFmtId="170" formatCode="#,##0.00_ ;\-#,##0.00\ "/>
    <numFmt numFmtId="171" formatCode="_(* #,##0_);_(* \(#,##0\);_(* &quot;-&quot;??_);_(@_)"/>
    <numFmt numFmtId="172" formatCode="#,##0.00_ ;[Red]\-#,##0.00\ "/>
    <numFmt numFmtId="173" formatCode="#,##0_ ;[Red]\-#,##0\ "/>
    <numFmt numFmtId="174" formatCode="#,##0.00;[Red]#,##0.00"/>
    <numFmt numFmtId="175" formatCode="_-* #,##0.000_-;\-* #,##0.00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vertAlign val="superscript"/>
      <sz val="11"/>
      <color rgb="FFFF0000"/>
      <name val="Arial"/>
      <family val="2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rgb="FF002060"/>
      <name val="Arial"/>
      <family val="2"/>
    </font>
    <font>
      <b/>
      <vertAlign val="superscript"/>
      <sz val="14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3" fontId="0" fillId="2" borderId="7" xfId="0" applyNumberFormat="1" applyFill="1" applyBorder="1" applyAlignment="1">
      <alignment vertical="center"/>
    </xf>
    <xf numFmtId="3" fontId="0" fillId="2" borderId="8" xfId="0" applyNumberFormat="1" applyFill="1" applyBorder="1" applyAlignment="1">
      <alignment vertical="center"/>
    </xf>
    <xf numFmtId="167" fontId="0" fillId="2" borderId="8" xfId="0" applyNumberForma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9" fontId="0" fillId="0" borderId="8" xfId="3" applyFont="1" applyBorder="1" applyAlignment="1">
      <alignment vertical="center"/>
    </xf>
    <xf numFmtId="10" fontId="0" fillId="0" borderId="8" xfId="3" applyNumberFormat="1" applyFont="1" applyBorder="1" applyAlignment="1">
      <alignment vertical="center"/>
    </xf>
    <xf numFmtId="9" fontId="0" fillId="2" borderId="8" xfId="3" applyFont="1" applyFill="1" applyBorder="1" applyAlignment="1">
      <alignment vertical="center"/>
    </xf>
    <xf numFmtId="10" fontId="0" fillId="2" borderId="8" xfId="3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7" fontId="0" fillId="0" borderId="3" xfId="0" applyNumberFormat="1" applyBorder="1" applyAlignment="1">
      <alignment vertical="center"/>
    </xf>
    <xf numFmtId="0" fontId="0" fillId="3" borderId="7" xfId="0" applyFill="1" applyBorder="1" applyAlignment="1">
      <alignment vertical="center" wrapText="1"/>
    </xf>
    <xf numFmtId="3" fontId="0" fillId="3" borderId="7" xfId="0" applyNumberFormat="1" applyFill="1" applyBorder="1" applyAlignment="1">
      <alignment vertical="center"/>
    </xf>
    <xf numFmtId="3" fontId="0" fillId="3" borderId="8" xfId="0" applyNumberFormat="1" applyFill="1" applyBorder="1" applyAlignment="1">
      <alignment vertical="center"/>
    </xf>
    <xf numFmtId="167" fontId="0" fillId="3" borderId="8" xfId="0" applyNumberFormat="1" applyFill="1" applyBorder="1" applyAlignment="1">
      <alignment vertical="center"/>
    </xf>
    <xf numFmtId="9" fontId="0" fillId="3" borderId="8" xfId="3" applyFont="1" applyFill="1" applyBorder="1" applyAlignment="1">
      <alignment vertical="center"/>
    </xf>
    <xf numFmtId="10" fontId="0" fillId="3" borderId="8" xfId="3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3" fontId="0" fillId="4" borderId="7" xfId="0" applyNumberFormat="1" applyFill="1" applyBorder="1" applyAlignment="1">
      <alignment vertical="center"/>
    </xf>
    <xf numFmtId="3" fontId="0" fillId="4" borderId="8" xfId="0" applyNumberFormat="1" applyFill="1" applyBorder="1" applyAlignment="1">
      <alignment vertical="center"/>
    </xf>
    <xf numFmtId="9" fontId="0" fillId="4" borderId="8" xfId="3" applyFont="1" applyFill="1" applyBorder="1" applyAlignment="1">
      <alignment vertical="center"/>
    </xf>
    <xf numFmtId="10" fontId="0" fillId="4" borderId="8" xfId="3" applyNumberFormat="1" applyFont="1" applyFill="1" applyBorder="1" applyAlignment="1">
      <alignment vertical="center"/>
    </xf>
    <xf numFmtId="0" fontId="7" fillId="5" borderId="7" xfId="0" applyFont="1" applyFill="1" applyBorder="1" applyAlignment="1">
      <alignment vertical="center" wrapText="1"/>
    </xf>
    <xf numFmtId="9" fontId="8" fillId="5" borderId="3" xfId="3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9" fontId="8" fillId="0" borderId="8" xfId="3" applyFont="1" applyBorder="1" applyAlignment="1">
      <alignment vertical="center"/>
    </xf>
    <xf numFmtId="0" fontId="7" fillId="5" borderId="9" xfId="0" applyFont="1" applyFill="1" applyBorder="1" applyAlignment="1">
      <alignment vertical="center" wrapText="1"/>
    </xf>
    <xf numFmtId="9" fontId="8" fillId="5" borderId="12" xfId="3" applyFont="1" applyFill="1" applyBorder="1" applyAlignment="1">
      <alignment vertical="center"/>
    </xf>
    <xf numFmtId="168" fontId="0" fillId="0" borderId="3" xfId="0" applyNumberFormat="1" applyBorder="1" applyAlignment="1">
      <alignment vertical="center"/>
    </xf>
    <xf numFmtId="3" fontId="0" fillId="6" borderId="7" xfId="0" applyNumberFormat="1" applyFill="1" applyBorder="1" applyAlignment="1">
      <alignment vertical="center"/>
    </xf>
    <xf numFmtId="3" fontId="0" fillId="6" borderId="8" xfId="0" applyNumberFormat="1" applyFill="1" applyBorder="1" applyAlignment="1">
      <alignment vertical="center"/>
    </xf>
    <xf numFmtId="168" fontId="0" fillId="6" borderId="8" xfId="0" applyNumberFormat="1" applyFill="1" applyBorder="1" applyAlignment="1">
      <alignment vertical="center"/>
    </xf>
    <xf numFmtId="0" fontId="0" fillId="3" borderId="9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0" fillId="0" borderId="3" xfId="1" applyNumberFormat="1" applyFont="1" applyBorder="1" applyAlignment="1">
      <alignment vertical="center"/>
    </xf>
    <xf numFmtId="0" fontId="0" fillId="4" borderId="10" xfId="0" applyFill="1" applyBorder="1" applyAlignment="1">
      <alignment vertical="center" wrapText="1"/>
    </xf>
    <xf numFmtId="168" fontId="0" fillId="4" borderId="8" xfId="0" applyNumberFormat="1" applyFill="1" applyBorder="1" applyAlignment="1">
      <alignment vertical="center"/>
    </xf>
    <xf numFmtId="9" fontId="0" fillId="0" borderId="7" xfId="3" applyFont="1" applyBorder="1" applyAlignment="1">
      <alignment vertical="center"/>
    </xf>
    <xf numFmtId="9" fontId="0" fillId="4" borderId="7" xfId="3" applyFont="1" applyFill="1" applyBorder="1" applyAlignment="1">
      <alignment vertical="center"/>
    </xf>
    <xf numFmtId="0" fontId="0" fillId="4" borderId="11" xfId="0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9" fontId="2" fillId="5" borderId="5" xfId="3" applyFont="1" applyFill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9" fontId="2" fillId="0" borderId="7" xfId="3" applyFont="1" applyFill="1" applyBorder="1" applyAlignment="1">
      <alignment vertical="center"/>
    </xf>
    <xf numFmtId="0" fontId="10" fillId="5" borderId="11" xfId="0" applyFont="1" applyFill="1" applyBorder="1" applyAlignment="1">
      <alignment vertical="center" wrapText="1"/>
    </xf>
    <xf numFmtId="9" fontId="2" fillId="5" borderId="9" xfId="3" applyFont="1" applyFill="1" applyBorder="1" applyAlignment="1">
      <alignment vertical="center"/>
    </xf>
    <xf numFmtId="0" fontId="0" fillId="6" borderId="10" xfId="0" applyFill="1" applyBorder="1" applyAlignment="1">
      <alignment vertical="center" wrapText="1"/>
    </xf>
    <xf numFmtId="167" fontId="0" fillId="6" borderId="8" xfId="0" applyNumberFormat="1" applyFill="1" applyBorder="1" applyAlignment="1">
      <alignment vertical="center"/>
    </xf>
    <xf numFmtId="9" fontId="0" fillId="6" borderId="7" xfId="3" applyFont="1" applyFill="1" applyBorder="1" applyAlignment="1">
      <alignment vertical="center"/>
    </xf>
    <xf numFmtId="9" fontId="0" fillId="6" borderId="8" xfId="3" applyFont="1" applyFill="1" applyBorder="1" applyAlignment="1">
      <alignment vertical="center"/>
    </xf>
    <xf numFmtId="10" fontId="0" fillId="6" borderId="8" xfId="3" applyNumberFormat="1" applyFont="1" applyFill="1" applyBorder="1" applyAlignment="1">
      <alignment vertical="center"/>
    </xf>
    <xf numFmtId="0" fontId="0" fillId="6" borderId="11" xfId="0" applyFill="1" applyBorder="1" applyAlignment="1">
      <alignment vertical="center" wrapText="1"/>
    </xf>
    <xf numFmtId="3" fontId="0" fillId="6" borderId="9" xfId="0" applyNumberFormat="1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9" fontId="0" fillId="2" borderId="7" xfId="3" applyFont="1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3" fontId="0" fillId="2" borderId="9" xfId="0" applyNumberFormat="1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10" xfId="0" applyFill="1" applyBorder="1" applyAlignment="1">
      <alignment vertical="center" wrapText="1"/>
    </xf>
    <xf numFmtId="9" fontId="0" fillId="3" borderId="7" xfId="3" applyFont="1" applyFill="1" applyBorder="1" applyAlignment="1">
      <alignment vertical="center"/>
    </xf>
    <xf numFmtId="0" fontId="0" fillId="3" borderId="11" xfId="0" applyFill="1" applyBorder="1" applyAlignment="1">
      <alignment vertical="center" wrapText="1"/>
    </xf>
    <xf numFmtId="3" fontId="0" fillId="3" borderId="12" xfId="0" applyNumberForma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3" fontId="0" fillId="4" borderId="9" xfId="0" applyNumberFormat="1" applyFill="1" applyBorder="1" applyAlignment="1">
      <alignment vertical="center"/>
    </xf>
    <xf numFmtId="3" fontId="0" fillId="4" borderId="12" xfId="0" applyNumberFormat="1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7" xfId="3" applyNumberFormat="1" applyFont="1" applyBorder="1" applyAlignment="1">
      <alignment vertical="center"/>
    </xf>
    <xf numFmtId="0" fontId="0" fillId="0" borderId="8" xfId="3" applyNumberFormat="1" applyFont="1" applyBorder="1" applyAlignment="1">
      <alignment vertical="center"/>
    </xf>
    <xf numFmtId="0" fontId="0" fillId="6" borderId="7" xfId="3" applyNumberFormat="1" applyFont="1" applyFill="1" applyBorder="1" applyAlignment="1">
      <alignment vertical="center"/>
    </xf>
    <xf numFmtId="0" fontId="0" fillId="6" borderId="8" xfId="3" applyNumberFormat="1" applyFont="1" applyFill="1" applyBorder="1" applyAlignment="1">
      <alignment vertical="center"/>
    </xf>
    <xf numFmtId="3" fontId="0" fillId="6" borderId="12" xfId="0" applyNumberFormat="1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9" fontId="2" fillId="5" borderId="3" xfId="3" applyFont="1" applyFill="1" applyBorder="1" applyAlignment="1">
      <alignment vertical="center"/>
    </xf>
    <xf numFmtId="0" fontId="2" fillId="7" borderId="8" xfId="0" applyFont="1" applyFill="1" applyBorder="1" applyAlignment="1">
      <alignment vertical="center" wrapText="1"/>
    </xf>
    <xf numFmtId="9" fontId="2" fillId="7" borderId="8" xfId="3" applyFont="1" applyFill="1" applyBorder="1" applyAlignment="1">
      <alignment vertical="center"/>
    </xf>
    <xf numFmtId="167" fontId="0" fillId="0" borderId="7" xfId="1" applyNumberFormat="1" applyFont="1" applyBorder="1" applyAlignment="1">
      <alignment vertical="center"/>
    </xf>
    <xf numFmtId="167" fontId="0" fillId="0" borderId="8" xfId="1" applyNumberFormat="1" applyFont="1" applyBorder="1" applyAlignment="1">
      <alignment vertical="center"/>
    </xf>
    <xf numFmtId="2" fontId="0" fillId="4" borderId="7" xfId="0" applyNumberFormat="1" applyFill="1" applyBorder="1" applyAlignment="1">
      <alignment vertical="center"/>
    </xf>
    <xf numFmtId="165" fontId="0" fillId="4" borderId="7" xfId="2" applyFont="1" applyFill="1" applyBorder="1" applyAlignment="1">
      <alignment vertical="center"/>
    </xf>
    <xf numFmtId="165" fontId="0" fillId="4" borderId="7" xfId="0" applyNumberFormat="1" applyFill="1" applyBorder="1" applyAlignment="1">
      <alignment vertical="center"/>
    </xf>
    <xf numFmtId="0" fontId="11" fillId="5" borderId="5" xfId="0" applyFont="1" applyFill="1" applyBorder="1" applyAlignment="1">
      <alignment vertical="center" wrapText="1"/>
    </xf>
    <xf numFmtId="9" fontId="11" fillId="5" borderId="5" xfId="3" applyFont="1" applyFill="1" applyBorder="1" applyAlignment="1">
      <alignment vertical="center"/>
    </xf>
    <xf numFmtId="9" fontId="11" fillId="5" borderId="3" xfId="3" applyFont="1" applyFill="1" applyBorder="1" applyAlignment="1">
      <alignment vertical="center"/>
    </xf>
    <xf numFmtId="10" fontId="0" fillId="0" borderId="7" xfId="3" applyNumberFormat="1" applyFont="1" applyBorder="1" applyAlignment="1">
      <alignment vertical="center"/>
    </xf>
    <xf numFmtId="3" fontId="11" fillId="3" borderId="7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14" xfId="0" applyFill="1" applyBorder="1" applyAlignment="1">
      <alignment vertical="center" wrapText="1"/>
    </xf>
    <xf numFmtId="9" fontId="0" fillId="3" borderId="9" xfId="3" applyFont="1" applyFill="1" applyBorder="1" applyAlignment="1">
      <alignment vertical="center"/>
    </xf>
    <xf numFmtId="164" fontId="0" fillId="4" borderId="5" xfId="2" applyNumberFormat="1" applyFont="1" applyFill="1" applyBorder="1" applyAlignment="1">
      <alignment vertical="center"/>
    </xf>
    <xf numFmtId="164" fontId="0" fillId="4" borderId="3" xfId="2" applyNumberFormat="1" applyFont="1" applyFill="1" applyBorder="1" applyAlignment="1">
      <alignment vertical="center"/>
    </xf>
    <xf numFmtId="164" fontId="0" fillId="0" borderId="7" xfId="2" applyNumberFormat="1" applyFont="1" applyBorder="1" applyAlignment="1">
      <alignment vertical="center"/>
    </xf>
    <xf numFmtId="164" fontId="0" fillId="0" borderId="8" xfId="2" applyNumberFormat="1" applyFont="1" applyBorder="1" applyAlignment="1">
      <alignment vertical="center"/>
    </xf>
    <xf numFmtId="164" fontId="0" fillId="4" borderId="9" xfId="2" applyNumberFormat="1" applyFont="1" applyFill="1" applyBorder="1" applyAlignment="1">
      <alignment vertical="center"/>
    </xf>
    <xf numFmtId="164" fontId="0" fillId="4" borderId="12" xfId="2" applyNumberFormat="1" applyFont="1" applyFill="1" applyBorder="1" applyAlignment="1">
      <alignment vertical="center"/>
    </xf>
    <xf numFmtId="3" fontId="0" fillId="6" borderId="7" xfId="1" applyNumberFormat="1" applyFont="1" applyFill="1" applyBorder="1" applyAlignment="1">
      <alignment vertical="center"/>
    </xf>
    <xf numFmtId="3" fontId="0" fillId="6" borderId="8" xfId="1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3" fontId="0" fillId="2" borderId="1" xfId="1" applyNumberFormat="1" applyFont="1" applyFill="1" applyBorder="1" applyAlignment="1">
      <alignment vertical="center"/>
    </xf>
    <xf numFmtId="3" fontId="0" fillId="4" borderId="6" xfId="1" applyNumberFormat="1" applyFon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12" fillId="4" borderId="10" xfId="0" applyFont="1" applyFill="1" applyBorder="1" applyAlignment="1">
      <alignment vertical="center" wrapText="1"/>
    </xf>
    <xf numFmtId="3" fontId="0" fillId="4" borderId="10" xfId="0" applyNumberFormat="1" applyFill="1" applyBorder="1" applyAlignment="1">
      <alignment vertical="center"/>
    </xf>
    <xf numFmtId="0" fontId="12" fillId="0" borderId="11" xfId="0" applyFont="1" applyBorder="1" applyAlignment="1">
      <alignment vertical="center" wrapText="1"/>
    </xf>
    <xf numFmtId="9" fontId="0" fillId="0" borderId="10" xfId="3" applyFont="1" applyBorder="1" applyAlignment="1">
      <alignment vertical="center"/>
    </xf>
    <xf numFmtId="9" fontId="0" fillId="0" borderId="9" xfId="3" applyFont="1" applyBorder="1" applyAlignment="1">
      <alignment vertical="center"/>
    </xf>
    <xf numFmtId="3" fontId="0" fillId="4" borderId="5" xfId="1" applyNumberFormat="1" applyFont="1" applyFill="1" applyBorder="1" applyAlignment="1">
      <alignment vertical="center"/>
    </xf>
    <xf numFmtId="167" fontId="0" fillId="0" borderId="0" xfId="1" applyNumberFormat="1" applyFont="1" applyAlignment="1">
      <alignment vertical="center"/>
    </xf>
    <xf numFmtId="9" fontId="0" fillId="0" borderId="11" xfId="3" applyFont="1" applyBorder="1" applyAlignment="1">
      <alignment vertical="center"/>
    </xf>
    <xf numFmtId="3" fontId="0" fillId="4" borderId="7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4" borderId="7" xfId="0" applyFill="1" applyBorder="1" applyAlignment="1">
      <alignment vertical="center"/>
    </xf>
    <xf numFmtId="167" fontId="0" fillId="4" borderId="7" xfId="0" applyNumberFormat="1" applyFill="1" applyBorder="1" applyAlignment="1">
      <alignment vertical="center"/>
    </xf>
    <xf numFmtId="0" fontId="0" fillId="0" borderId="10" xfId="3" applyNumberFormat="1" applyFont="1" applyBorder="1" applyAlignment="1">
      <alignment vertical="center"/>
    </xf>
    <xf numFmtId="3" fontId="0" fillId="4" borderId="3" xfId="0" applyNumberForma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12" fillId="4" borderId="7" xfId="0" applyFont="1" applyFill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3" fontId="0" fillId="5" borderId="5" xfId="1" applyNumberFormat="1" applyFont="1" applyFill="1" applyBorder="1" applyAlignment="1">
      <alignment vertical="center"/>
    </xf>
    <xf numFmtId="3" fontId="0" fillId="0" borderId="7" xfId="1" applyNumberFormat="1" applyFont="1" applyFill="1" applyBorder="1" applyAlignment="1">
      <alignment vertical="center"/>
    </xf>
    <xf numFmtId="3" fontId="0" fillId="5" borderId="7" xfId="1" applyNumberFormat="1" applyFont="1" applyFill="1" applyBorder="1" applyAlignment="1">
      <alignment vertical="center"/>
    </xf>
    <xf numFmtId="3" fontId="0" fillId="0" borderId="7" xfId="1" applyNumberFormat="1" applyFont="1" applyBorder="1" applyAlignment="1">
      <alignment vertical="center"/>
    </xf>
    <xf numFmtId="3" fontId="13" fillId="5" borderId="7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169" fontId="0" fillId="0" borderId="5" xfId="0" applyNumberFormat="1" applyBorder="1" applyAlignment="1">
      <alignment vertical="center"/>
    </xf>
    <xf numFmtId="0" fontId="13" fillId="6" borderId="7" xfId="0" applyFont="1" applyFill="1" applyBorder="1" applyAlignment="1">
      <alignment vertical="center" wrapText="1"/>
    </xf>
    <xf numFmtId="169" fontId="0" fillId="6" borderId="9" xfId="0" applyNumberFormat="1" applyFill="1" applyBorder="1" applyAlignment="1">
      <alignment vertical="center"/>
    </xf>
    <xf numFmtId="168" fontId="0" fillId="0" borderId="9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6" fillId="0" borderId="0" xfId="0" applyFont="1" applyAlignment="1">
      <alignment vertical="center"/>
    </xf>
    <xf numFmtId="3" fontId="0" fillId="0" borderId="5" xfId="0" applyNumberFormat="1" applyBorder="1"/>
    <xf numFmtId="3" fontId="0" fillId="0" borderId="3" xfId="0" applyNumberFormat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4" borderId="7" xfId="0" applyNumberFormat="1" applyFill="1" applyBorder="1"/>
    <xf numFmtId="3" fontId="0" fillId="4" borderId="8" xfId="0" applyNumberFormat="1" applyFill="1" applyBorder="1"/>
    <xf numFmtId="0" fontId="0" fillId="0" borderId="5" xfId="0" applyBorder="1"/>
    <xf numFmtId="0" fontId="0" fillId="3" borderId="7" xfId="0" applyFill="1" applyBorder="1"/>
    <xf numFmtId="0" fontId="0" fillId="6" borderId="7" xfId="0" applyFill="1" applyBorder="1"/>
    <xf numFmtId="4" fontId="0" fillId="0" borderId="5" xfId="0" applyNumberFormat="1" applyBorder="1" applyAlignment="1">
      <alignment vertical="center"/>
    </xf>
    <xf numFmtId="4" fontId="0" fillId="6" borderId="9" xfId="0" applyNumberFormat="1" applyFill="1" applyBorder="1" applyAlignment="1">
      <alignment vertical="center"/>
    </xf>
    <xf numFmtId="9" fontId="0" fillId="7" borderId="7" xfId="3" applyFont="1" applyFill="1" applyBorder="1" applyAlignment="1">
      <alignment vertical="center"/>
    </xf>
    <xf numFmtId="0" fontId="2" fillId="6" borderId="7" xfId="0" applyFont="1" applyFill="1" applyBorder="1" applyAlignment="1">
      <alignment vertical="center" textRotation="255"/>
    </xf>
    <xf numFmtId="0" fontId="2" fillId="6" borderId="9" xfId="0" applyFont="1" applyFill="1" applyBorder="1" applyAlignment="1">
      <alignment vertical="center" textRotation="255"/>
    </xf>
    <xf numFmtId="3" fontId="0" fillId="6" borderId="8" xfId="0" applyNumberFormat="1" applyFill="1" applyBorder="1"/>
    <xf numFmtId="0" fontId="18" fillId="2" borderId="7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8" fillId="6" borderId="7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8" fillId="6" borderId="10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7" borderId="0" xfId="0" applyFont="1" applyFill="1" applyAlignment="1">
      <alignment vertical="center" wrapText="1"/>
    </xf>
    <xf numFmtId="0" fontId="18" fillId="4" borderId="6" xfId="0" applyFont="1" applyFill="1" applyBorder="1" applyAlignment="1">
      <alignment vertical="center" wrapText="1"/>
    </xf>
    <xf numFmtId="0" fontId="18" fillId="4" borderId="11" xfId="0" applyFont="1" applyFill="1" applyBorder="1" applyAlignment="1">
      <alignment vertical="center"/>
    </xf>
    <xf numFmtId="0" fontId="18" fillId="6" borderId="0" xfId="0" applyFont="1" applyFill="1" applyAlignment="1">
      <alignment vertical="center" wrapText="1"/>
    </xf>
    <xf numFmtId="168" fontId="18" fillId="0" borderId="7" xfId="0" applyNumberFormat="1" applyFont="1" applyBorder="1" applyAlignment="1">
      <alignment vertical="center" wrapText="1"/>
    </xf>
    <xf numFmtId="168" fontId="18" fillId="6" borderId="7" xfId="0" applyNumberFormat="1" applyFont="1" applyFill="1" applyBorder="1" applyAlignment="1">
      <alignment vertical="center" wrapText="1"/>
    </xf>
    <xf numFmtId="168" fontId="18" fillId="0" borderId="9" xfId="0" applyNumberFormat="1" applyFont="1" applyBorder="1" applyAlignment="1">
      <alignment vertical="center" wrapText="1"/>
    </xf>
    <xf numFmtId="9" fontId="8" fillId="5" borderId="8" xfId="3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0" fontId="18" fillId="7" borderId="10" xfId="0" applyFont="1" applyFill="1" applyBorder="1" applyAlignment="1">
      <alignment vertical="center"/>
    </xf>
    <xf numFmtId="2" fontId="0" fillId="0" borderId="7" xfId="0" applyNumberFormat="1" applyBorder="1" applyAlignment="1">
      <alignment vertical="center"/>
    </xf>
    <xf numFmtId="165" fontId="0" fillId="0" borderId="7" xfId="2" applyFont="1" applyBorder="1" applyAlignment="1">
      <alignment vertical="center"/>
    </xf>
    <xf numFmtId="165" fontId="0" fillId="0" borderId="7" xfId="0" applyNumberFormat="1" applyBorder="1" applyAlignment="1">
      <alignment vertical="center"/>
    </xf>
    <xf numFmtId="0" fontId="10" fillId="7" borderId="11" xfId="0" applyFont="1" applyFill="1" applyBorder="1" applyAlignment="1">
      <alignment vertical="center" wrapText="1"/>
    </xf>
    <xf numFmtId="0" fontId="0" fillId="7" borderId="7" xfId="3" applyNumberFormat="1" applyFont="1" applyFill="1" applyBorder="1" applyAlignment="1">
      <alignment vertical="center"/>
    </xf>
    <xf numFmtId="0" fontId="0" fillId="7" borderId="8" xfId="3" applyNumberFormat="1" applyFont="1" applyFill="1" applyBorder="1" applyAlignment="1">
      <alignment vertical="center"/>
    </xf>
    <xf numFmtId="0" fontId="10" fillId="8" borderId="17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vertical="center" wrapText="1"/>
    </xf>
    <xf numFmtId="167" fontId="2" fillId="8" borderId="7" xfId="1" applyNumberFormat="1" applyFont="1" applyFill="1" applyBorder="1" applyAlignment="1">
      <alignment vertical="center"/>
    </xf>
    <xf numFmtId="167" fontId="2" fillId="8" borderId="17" xfId="1" applyNumberFormat="1" applyFont="1" applyFill="1" applyBorder="1" applyAlignment="1">
      <alignment vertical="center"/>
    </xf>
    <xf numFmtId="167" fontId="2" fillId="8" borderId="18" xfId="1" applyNumberFormat="1" applyFont="1" applyFill="1" applyBorder="1" applyAlignment="1">
      <alignment vertical="center"/>
    </xf>
    <xf numFmtId="167" fontId="18" fillId="9" borderId="15" xfId="1" applyNumberFormat="1" applyFont="1" applyFill="1" applyBorder="1" applyAlignment="1">
      <alignment vertical="center" wrapText="1"/>
    </xf>
    <xf numFmtId="3" fontId="0" fillId="0" borderId="23" xfId="0" applyNumberFormat="1" applyBorder="1" applyAlignment="1">
      <alignment vertical="center"/>
    </xf>
    <xf numFmtId="3" fontId="0" fillId="6" borderId="25" xfId="0" applyNumberFormat="1" applyFill="1" applyBorder="1" applyAlignment="1">
      <alignment vertical="center"/>
    </xf>
    <xf numFmtId="0" fontId="0" fillId="10" borderId="26" xfId="0" applyFill="1" applyBorder="1" applyAlignment="1">
      <alignment vertical="center"/>
    </xf>
    <xf numFmtId="9" fontId="0" fillId="0" borderId="25" xfId="3" applyFont="1" applyBorder="1" applyAlignment="1">
      <alignment vertical="center"/>
    </xf>
    <xf numFmtId="9" fontId="0" fillId="6" borderId="25" xfId="3" applyFont="1" applyFill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2" borderId="25" xfId="0" applyNumberFormat="1" applyFill="1" applyBorder="1" applyAlignment="1">
      <alignment vertical="center"/>
    </xf>
    <xf numFmtId="9" fontId="0" fillId="2" borderId="25" xfId="3" applyFont="1" applyFill="1" applyBorder="1" applyAlignment="1">
      <alignment vertical="center"/>
    </xf>
    <xf numFmtId="3" fontId="0" fillId="2" borderId="28" xfId="0" applyNumberFormat="1" applyFill="1" applyBorder="1" applyAlignment="1">
      <alignment vertical="center"/>
    </xf>
    <xf numFmtId="3" fontId="0" fillId="3" borderId="25" xfId="0" applyNumberFormat="1" applyFill="1" applyBorder="1" applyAlignment="1">
      <alignment vertical="center"/>
    </xf>
    <xf numFmtId="9" fontId="0" fillId="3" borderId="25" xfId="3" applyFont="1" applyFill="1" applyBorder="1" applyAlignment="1">
      <alignment vertical="center"/>
    </xf>
    <xf numFmtId="9" fontId="0" fillId="4" borderId="25" xfId="3" applyFont="1" applyFill="1" applyBorder="1" applyAlignment="1">
      <alignment vertical="center"/>
    </xf>
    <xf numFmtId="3" fontId="0" fillId="4" borderId="28" xfId="0" applyNumberFormat="1" applyFill="1" applyBorder="1" applyAlignment="1">
      <alignment vertical="center"/>
    </xf>
    <xf numFmtId="3" fontId="0" fillId="6" borderId="28" xfId="0" applyNumberFormat="1" applyFill="1" applyBorder="1" applyAlignment="1">
      <alignment vertical="center"/>
    </xf>
    <xf numFmtId="3" fontId="0" fillId="3" borderId="28" xfId="0" applyNumberFormat="1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2" fillId="5" borderId="31" xfId="0" applyFont="1" applyFill="1" applyBorder="1" applyAlignment="1">
      <alignment vertical="center" wrapText="1"/>
    </xf>
    <xf numFmtId="9" fontId="2" fillId="5" borderId="31" xfId="3" applyFont="1" applyFill="1" applyBorder="1" applyAlignment="1">
      <alignment vertical="center"/>
    </xf>
    <xf numFmtId="170" fontId="0" fillId="7" borderId="9" xfId="0" applyNumberFormat="1" applyFill="1" applyBorder="1" applyAlignment="1">
      <alignment vertical="center"/>
    </xf>
    <xf numFmtId="0" fontId="2" fillId="6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0" fillId="8" borderId="19" xfId="0" applyFont="1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171" fontId="8" fillId="2" borderId="5" xfId="1" applyNumberFormat="1" applyFont="1" applyFill="1" applyBorder="1"/>
    <xf numFmtId="171" fontId="8" fillId="2" borderId="13" xfId="1" applyNumberFormat="1" applyFont="1" applyFill="1" applyBorder="1"/>
    <xf numFmtId="171" fontId="8" fillId="5" borderId="7" xfId="1" applyNumberFormat="1" applyFont="1" applyFill="1" applyBorder="1"/>
    <xf numFmtId="171" fontId="8" fillId="5" borderId="0" xfId="1" applyNumberFormat="1" applyFont="1" applyFill="1"/>
    <xf numFmtId="171" fontId="8" fillId="2" borderId="7" xfId="1" applyNumberFormat="1" applyFont="1" applyFill="1" applyBorder="1"/>
    <xf numFmtId="171" fontId="8" fillId="2" borderId="0" xfId="1" applyNumberFormat="1" applyFont="1" applyFill="1"/>
    <xf numFmtId="171" fontId="13" fillId="2" borderId="7" xfId="1" applyNumberFormat="1" applyFont="1" applyFill="1" applyBorder="1"/>
    <xf numFmtId="0" fontId="2" fillId="11" borderId="6" xfId="0" applyFont="1" applyFill="1" applyBorder="1"/>
    <xf numFmtId="171" fontId="8" fillId="5" borderId="5" xfId="1" applyNumberFormat="1" applyFont="1" applyFill="1" applyBorder="1"/>
    <xf numFmtId="171" fontId="8" fillId="5" borderId="10" xfId="1" applyNumberFormat="1" applyFont="1" applyFill="1" applyBorder="1"/>
    <xf numFmtId="171" fontId="8" fillId="2" borderId="10" xfId="1" applyNumberFormat="1" applyFont="1" applyFill="1" applyBorder="1"/>
    <xf numFmtId="171" fontId="8" fillId="11" borderId="9" xfId="1" applyNumberFormat="1" applyFont="1" applyFill="1" applyBorder="1"/>
    <xf numFmtId="171" fontId="8" fillId="11" borderId="11" xfId="1" applyNumberFormat="1" applyFont="1" applyFill="1" applyBorder="1"/>
    <xf numFmtId="171" fontId="19" fillId="11" borderId="9" xfId="1" applyNumberFormat="1" applyFont="1" applyFill="1" applyBorder="1"/>
    <xf numFmtId="171" fontId="19" fillId="11" borderId="11" xfId="1" applyNumberFormat="1" applyFont="1" applyFill="1" applyBorder="1"/>
    <xf numFmtId="0" fontId="18" fillId="2" borderId="13" xfId="0" applyFont="1" applyFill="1" applyBorder="1"/>
    <xf numFmtId="0" fontId="18" fillId="11" borderId="0" xfId="0" applyFont="1" applyFill="1"/>
    <xf numFmtId="0" fontId="18" fillId="2" borderId="0" xfId="0" applyFont="1" applyFill="1"/>
    <xf numFmtId="0" fontId="18" fillId="5" borderId="10" xfId="0" applyFont="1" applyFill="1" applyBorder="1" applyAlignment="1">
      <alignment vertical="center" wrapText="1"/>
    </xf>
    <xf numFmtId="0" fontId="18" fillId="11" borderId="11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 wrapText="1"/>
    </xf>
    <xf numFmtId="0" fontId="23" fillId="6" borderId="0" xfId="4" applyFont="1" applyFill="1"/>
    <xf numFmtId="0" fontId="8" fillId="0" borderId="0" xfId="0" applyFont="1"/>
    <xf numFmtId="1" fontId="27" fillId="0" borderId="0" xfId="4" applyNumberFormat="1" applyFont="1" applyAlignment="1">
      <alignment horizontal="center"/>
    </xf>
    <xf numFmtId="1" fontId="28" fillId="0" borderId="0" xfId="4" applyNumberFormat="1" applyFont="1" applyAlignment="1">
      <alignment horizontal="center"/>
    </xf>
    <xf numFmtId="0" fontId="23" fillId="0" borderId="0" xfId="4" applyFont="1"/>
    <xf numFmtId="0" fontId="29" fillId="13" borderId="32" xfId="4" applyFont="1" applyFill="1" applyBorder="1" applyAlignment="1">
      <alignment horizontal="center" vertical="center"/>
    </xf>
    <xf numFmtId="1" fontId="29" fillId="13" borderId="32" xfId="4" applyNumberFormat="1" applyFont="1" applyFill="1" applyBorder="1" applyAlignment="1">
      <alignment horizontal="center" vertical="center" wrapText="1"/>
    </xf>
    <xf numFmtId="1" fontId="30" fillId="13" borderId="32" xfId="4" applyNumberFormat="1" applyFont="1" applyFill="1" applyBorder="1" applyAlignment="1">
      <alignment horizontal="center" vertical="center" wrapText="1"/>
    </xf>
    <xf numFmtId="0" fontId="25" fillId="10" borderId="0" xfId="4" applyFont="1" applyFill="1" applyAlignment="1">
      <alignment horizontal="center" vertical="center"/>
    </xf>
    <xf numFmtId="1" fontId="29" fillId="0" borderId="0" xfId="4" applyNumberFormat="1" applyFont="1" applyAlignment="1">
      <alignment horizontal="center" vertical="center" wrapText="1"/>
    </xf>
    <xf numFmtId="1" fontId="30" fillId="0" borderId="0" xfId="4" applyNumberFormat="1" applyFont="1" applyAlignment="1">
      <alignment horizontal="center" vertical="center" wrapText="1"/>
    </xf>
    <xf numFmtId="0" fontId="25" fillId="14" borderId="33" xfId="0" applyFont="1" applyFill="1" applyBorder="1" applyAlignment="1">
      <alignment horizontal="left" vertical="center"/>
    </xf>
    <xf numFmtId="43" fontId="31" fillId="14" borderId="34" xfId="5" applyFont="1" applyFill="1" applyBorder="1" applyAlignment="1" applyProtection="1">
      <alignment horizontal="right" vertical="center"/>
    </xf>
    <xf numFmtId="9" fontId="31" fillId="14" borderId="35" xfId="3" applyFont="1" applyFill="1" applyBorder="1" applyAlignment="1" applyProtection="1">
      <alignment horizontal="right" vertical="center"/>
    </xf>
    <xf numFmtId="0" fontId="32" fillId="15" borderId="36" xfId="0" applyFont="1" applyFill="1" applyBorder="1" applyAlignment="1">
      <alignment horizontal="left" vertical="center" indent="2"/>
    </xf>
    <xf numFmtId="43" fontId="33" fillId="15" borderId="37" xfId="5" applyFont="1" applyFill="1" applyBorder="1" applyAlignment="1" applyProtection="1">
      <alignment horizontal="right" vertical="center"/>
    </xf>
    <xf numFmtId="9" fontId="33" fillId="15" borderId="38" xfId="3" applyFont="1" applyFill="1" applyBorder="1" applyAlignment="1" applyProtection="1">
      <alignment horizontal="right" vertical="center"/>
    </xf>
    <xf numFmtId="0" fontId="32" fillId="15" borderId="36" xfId="0" applyFont="1" applyFill="1" applyBorder="1" applyAlignment="1">
      <alignment horizontal="left" vertical="center" indent="4"/>
    </xf>
    <xf numFmtId="43" fontId="33" fillId="0" borderId="37" xfId="5" applyFont="1" applyFill="1" applyBorder="1" applyAlignment="1" applyProtection="1">
      <alignment horizontal="right" vertical="center"/>
    </xf>
    <xf numFmtId="43" fontId="33" fillId="7" borderId="37" xfId="5" applyFont="1" applyFill="1" applyBorder="1" applyAlignment="1" applyProtection="1">
      <alignment horizontal="right" vertical="center"/>
    </xf>
    <xf numFmtId="9" fontId="33" fillId="0" borderId="38" xfId="3" applyFont="1" applyFill="1" applyBorder="1" applyAlignment="1" applyProtection="1">
      <alignment horizontal="right" vertical="center"/>
    </xf>
    <xf numFmtId="172" fontId="33" fillId="0" borderId="37" xfId="5" applyNumberFormat="1" applyFont="1" applyFill="1" applyBorder="1" applyAlignment="1" applyProtection="1">
      <alignment horizontal="right" vertical="center"/>
    </xf>
    <xf numFmtId="172" fontId="33" fillId="7" borderId="37" xfId="5" applyNumberFormat="1" applyFont="1" applyFill="1" applyBorder="1" applyAlignment="1" applyProtection="1">
      <alignment horizontal="right" vertical="center"/>
    </xf>
    <xf numFmtId="0" fontId="33" fillId="0" borderId="36" xfId="0" applyFont="1" applyBorder="1" applyAlignment="1">
      <alignment horizontal="left" vertical="center" indent="2"/>
    </xf>
    <xf numFmtId="9" fontId="31" fillId="0" borderId="39" xfId="3" applyFont="1" applyFill="1" applyBorder="1" applyAlignment="1" applyProtection="1">
      <alignment horizontal="right" vertical="center"/>
    </xf>
    <xf numFmtId="167" fontId="34" fillId="0" borderId="38" xfId="5" applyNumberFormat="1" applyFont="1" applyFill="1" applyBorder="1" applyAlignment="1" applyProtection="1">
      <alignment horizontal="right" vertical="center"/>
    </xf>
    <xf numFmtId="0" fontId="25" fillId="14" borderId="36" xfId="0" applyFont="1" applyFill="1" applyBorder="1" applyAlignment="1">
      <alignment horizontal="left" vertical="center"/>
    </xf>
    <xf numFmtId="43" fontId="31" fillId="14" borderId="37" xfId="5" applyFont="1" applyFill="1" applyBorder="1" applyAlignment="1" applyProtection="1">
      <alignment horizontal="right" vertical="center"/>
    </xf>
    <xf numFmtId="9" fontId="33" fillId="14" borderId="38" xfId="3" applyFont="1" applyFill="1" applyBorder="1" applyAlignment="1" applyProtection="1">
      <alignment horizontal="right" vertical="center"/>
    </xf>
    <xf numFmtId="43" fontId="31" fillId="15" borderId="37" xfId="5" applyFont="1" applyFill="1" applyBorder="1" applyAlignment="1" applyProtection="1">
      <alignment horizontal="right" vertical="center"/>
    </xf>
    <xf numFmtId="0" fontId="33" fillId="15" borderId="36" xfId="0" applyFont="1" applyFill="1" applyBorder="1" applyAlignment="1">
      <alignment horizontal="left" vertical="center" indent="4"/>
    </xf>
    <xf numFmtId="9" fontId="31" fillId="0" borderId="38" xfId="3" applyFont="1" applyFill="1" applyBorder="1" applyAlignment="1" applyProtection="1">
      <alignment horizontal="right" vertical="center"/>
    </xf>
    <xf numFmtId="0" fontId="35" fillId="15" borderId="36" xfId="0" applyFont="1" applyFill="1" applyBorder="1" applyAlignment="1">
      <alignment horizontal="right" vertical="center"/>
    </xf>
    <xf numFmtId="0" fontId="33" fillId="15" borderId="36" xfId="0" applyFont="1" applyFill="1" applyBorder="1" applyAlignment="1">
      <alignment horizontal="left" vertical="center" indent="2"/>
    </xf>
    <xf numFmtId="0" fontId="35" fillId="0" borderId="36" xfId="0" applyFont="1" applyBorder="1" applyAlignment="1">
      <alignment horizontal="right" vertical="center"/>
    </xf>
    <xf numFmtId="43" fontId="31" fillId="0" borderId="37" xfId="5" applyFont="1" applyFill="1" applyBorder="1" applyAlignment="1" applyProtection="1">
      <alignment horizontal="right" vertical="center"/>
    </xf>
    <xf numFmtId="0" fontId="31" fillId="10" borderId="36" xfId="0" applyFont="1" applyFill="1" applyBorder="1" applyAlignment="1">
      <alignment horizontal="center" vertical="center"/>
    </xf>
    <xf numFmtId="0" fontId="23" fillId="0" borderId="40" xfId="4" applyFont="1" applyBorder="1"/>
    <xf numFmtId="43" fontId="33" fillId="0" borderId="41" xfId="5" applyFont="1" applyFill="1" applyBorder="1" applyAlignment="1" applyProtection="1">
      <alignment horizontal="right" vertical="center"/>
    </xf>
    <xf numFmtId="0" fontId="25" fillId="10" borderId="33" xfId="0" applyFont="1" applyFill="1" applyBorder="1" applyAlignment="1">
      <alignment horizontal="left" vertical="center"/>
    </xf>
    <xf numFmtId="43" fontId="31" fillId="16" borderId="34" xfId="5" applyFont="1" applyFill="1" applyBorder="1" applyAlignment="1" applyProtection="1">
      <alignment horizontal="right" vertical="center"/>
    </xf>
    <xf numFmtId="43" fontId="33" fillId="0" borderId="37" xfId="5" applyFont="1" applyFill="1" applyBorder="1" applyAlignment="1" applyProtection="1">
      <alignment horizontal="right" vertical="center"/>
      <protection locked="0"/>
    </xf>
    <xf numFmtId="43" fontId="33" fillId="7" borderId="37" xfId="5" applyFont="1" applyFill="1" applyBorder="1" applyAlignment="1" applyProtection="1">
      <alignment horizontal="right" vertical="center"/>
      <protection locked="0"/>
    </xf>
    <xf numFmtId="0" fontId="25" fillId="16" borderId="33" xfId="0" applyFont="1" applyFill="1" applyBorder="1" applyAlignment="1">
      <alignment horizontal="left" vertical="center"/>
    </xf>
    <xf numFmtId="0" fontId="33" fillId="7" borderId="40" xfId="0" applyFont="1" applyFill="1" applyBorder="1" applyAlignment="1">
      <alignment horizontal="left" vertical="center" indent="2"/>
    </xf>
    <xf numFmtId="0" fontId="33" fillId="0" borderId="36" xfId="0" applyFont="1" applyBorder="1" applyAlignment="1">
      <alignment horizontal="left" vertical="center"/>
    </xf>
    <xf numFmtId="9" fontId="33" fillId="0" borderId="37" xfId="3" applyFont="1" applyFill="1" applyBorder="1" applyAlignment="1" applyProtection="1">
      <alignment horizontal="right" vertical="center"/>
      <protection locked="0"/>
    </xf>
    <xf numFmtId="9" fontId="33" fillId="0" borderId="37" xfId="5" applyNumberFormat="1" applyFont="1" applyFill="1" applyBorder="1" applyAlignment="1" applyProtection="1">
      <alignment horizontal="right" vertical="center"/>
    </xf>
    <xf numFmtId="167" fontId="31" fillId="16" borderId="34" xfId="5" applyNumberFormat="1" applyFont="1" applyFill="1" applyBorder="1" applyAlignment="1" applyProtection="1">
      <alignment horizontal="right" vertical="center"/>
    </xf>
    <xf numFmtId="167" fontId="33" fillId="0" borderId="37" xfId="5" applyNumberFormat="1" applyFont="1" applyFill="1" applyBorder="1" applyAlignment="1" applyProtection="1">
      <alignment horizontal="right" vertical="center"/>
      <protection locked="0"/>
    </xf>
    <xf numFmtId="167" fontId="33" fillId="0" borderId="37" xfId="5" applyNumberFormat="1" applyFont="1" applyFill="1" applyBorder="1" applyAlignment="1" applyProtection="1">
      <alignment horizontal="right" vertical="center"/>
    </xf>
    <xf numFmtId="0" fontId="38" fillId="0" borderId="36" xfId="6" applyFont="1" applyBorder="1"/>
    <xf numFmtId="3" fontId="38" fillId="0" borderId="0" xfId="6" applyNumberFormat="1" applyFont="1"/>
    <xf numFmtId="0" fontId="25" fillId="15" borderId="36" xfId="0" applyFont="1" applyFill="1" applyBorder="1" applyAlignment="1">
      <alignment horizontal="left" vertical="center"/>
    </xf>
    <xf numFmtId="43" fontId="33" fillId="0" borderId="37" xfId="5" applyFont="1" applyFill="1" applyBorder="1" applyAlignment="1" applyProtection="1">
      <alignment horizontal="left" vertical="center"/>
      <protection locked="0"/>
    </xf>
    <xf numFmtId="171" fontId="38" fillId="0" borderId="36" xfId="5" applyNumberFormat="1" applyFont="1" applyBorder="1" applyAlignment="1" applyProtection="1">
      <alignment horizontal="left" indent="1"/>
    </xf>
    <xf numFmtId="171" fontId="39" fillId="0" borderId="37" xfId="5" applyNumberFormat="1" applyFont="1" applyFill="1" applyBorder="1" applyProtection="1"/>
    <xf numFmtId="171" fontId="39" fillId="0" borderId="36" xfId="5" applyNumberFormat="1" applyFont="1" applyFill="1" applyBorder="1" applyAlignment="1" applyProtection="1">
      <alignment horizontal="left" indent="1"/>
    </xf>
    <xf numFmtId="171" fontId="39" fillId="0" borderId="37" xfId="5" applyNumberFormat="1" applyFont="1" applyFill="1" applyBorder="1" applyProtection="1">
      <protection locked="0"/>
    </xf>
    <xf numFmtId="0" fontId="25" fillId="10" borderId="36" xfId="0" applyFont="1" applyFill="1" applyBorder="1" applyAlignment="1">
      <alignment horizontal="left" vertical="center"/>
    </xf>
    <xf numFmtId="43" fontId="31" fillId="15" borderId="37" xfId="5" applyFont="1" applyFill="1" applyBorder="1" applyAlignment="1" applyProtection="1">
      <alignment horizontal="right" vertical="center"/>
      <protection locked="0"/>
    </xf>
    <xf numFmtId="0" fontId="32" fillId="0" borderId="36" xfId="0" applyFont="1" applyBorder="1" applyAlignment="1">
      <alignment horizontal="left" vertical="center" indent="3"/>
    </xf>
    <xf numFmtId="43" fontId="31" fillId="7" borderId="37" xfId="5" applyFont="1" applyFill="1" applyBorder="1" applyAlignment="1" applyProtection="1">
      <alignment horizontal="right" vertical="center"/>
      <protection locked="0"/>
    </xf>
    <xf numFmtId="171" fontId="39" fillId="0" borderId="36" xfId="5" applyNumberFormat="1" applyFont="1" applyBorder="1" applyAlignment="1" applyProtection="1">
      <alignment horizontal="left" indent="1"/>
    </xf>
    <xf numFmtId="173" fontId="39" fillId="0" borderId="37" xfId="7" applyNumberFormat="1" applyFont="1" applyFill="1" applyBorder="1" applyProtection="1"/>
    <xf numFmtId="0" fontId="33" fillId="7" borderId="36" xfId="0" applyFont="1" applyFill="1" applyBorder="1" applyAlignment="1">
      <alignment horizontal="left" vertical="center" indent="2"/>
    </xf>
    <xf numFmtId="171" fontId="39" fillId="0" borderId="36" xfId="5" quotePrefix="1" applyNumberFormat="1" applyFont="1" applyBorder="1" applyAlignment="1" applyProtection="1">
      <alignment horizontal="left" indent="3"/>
    </xf>
    <xf numFmtId="3" fontId="39" fillId="0" borderId="37" xfId="5" applyNumberFormat="1" applyFont="1" applyFill="1" applyBorder="1" applyProtection="1">
      <protection locked="0"/>
    </xf>
    <xf numFmtId="167" fontId="31" fillId="14" borderId="37" xfId="5" applyNumberFormat="1" applyFont="1" applyFill="1" applyBorder="1" applyAlignment="1" applyProtection="1">
      <alignment horizontal="right" vertical="center"/>
    </xf>
    <xf numFmtId="0" fontId="31" fillId="15" borderId="36" xfId="0" applyFont="1" applyFill="1" applyBorder="1" applyAlignment="1">
      <alignment horizontal="left" vertical="center" indent="2"/>
    </xf>
    <xf numFmtId="167" fontId="31" fillId="15" borderId="37" xfId="5" applyNumberFormat="1" applyFont="1" applyFill="1" applyBorder="1" applyAlignment="1" applyProtection="1">
      <alignment horizontal="right" vertical="center"/>
    </xf>
    <xf numFmtId="0" fontId="25" fillId="7" borderId="36" xfId="0" applyFont="1" applyFill="1" applyBorder="1" applyAlignment="1">
      <alignment horizontal="left" vertical="center"/>
    </xf>
    <xf numFmtId="167" fontId="33" fillId="7" borderId="37" xfId="5" applyNumberFormat="1" applyFont="1" applyFill="1" applyBorder="1" applyAlignment="1" applyProtection="1">
      <alignment horizontal="right" vertical="center"/>
      <protection locked="0"/>
    </xf>
    <xf numFmtId="167" fontId="31" fillId="15" borderId="37" xfId="5" applyNumberFormat="1" applyFont="1" applyFill="1" applyBorder="1" applyAlignment="1" applyProtection="1">
      <alignment horizontal="right" vertical="center"/>
      <protection locked="0"/>
    </xf>
    <xf numFmtId="0" fontId="25" fillId="0" borderId="36" xfId="0" applyFont="1" applyBorder="1" applyAlignment="1">
      <alignment horizontal="left" vertical="center"/>
    </xf>
    <xf numFmtId="167" fontId="31" fillId="0" borderId="37" xfId="5" applyNumberFormat="1" applyFont="1" applyFill="1" applyBorder="1" applyAlignment="1" applyProtection="1">
      <alignment horizontal="right" vertical="center"/>
      <protection locked="0"/>
    </xf>
    <xf numFmtId="174" fontId="39" fillId="0" borderId="37" xfId="5" applyNumberFormat="1" applyFont="1" applyFill="1" applyBorder="1" applyProtection="1">
      <protection locked="0"/>
    </xf>
    <xf numFmtId="171" fontId="38" fillId="0" borderId="42" xfId="5" quotePrefix="1" applyNumberFormat="1" applyFont="1" applyFill="1" applyBorder="1" applyAlignment="1" applyProtection="1">
      <alignment vertical="center" wrapText="1"/>
    </xf>
    <xf numFmtId="171" fontId="39" fillId="0" borderId="37" xfId="5" applyNumberFormat="1" applyFont="1" applyFill="1" applyBorder="1" applyAlignment="1" applyProtection="1">
      <alignment vertical="center"/>
      <protection locked="0"/>
    </xf>
    <xf numFmtId="175" fontId="33" fillId="0" borderId="37" xfId="5" applyNumberFormat="1" applyFont="1" applyFill="1" applyBorder="1" applyAlignment="1" applyProtection="1">
      <alignment horizontal="right" vertical="center"/>
      <protection locked="0"/>
    </xf>
    <xf numFmtId="3" fontId="39" fillId="7" borderId="37" xfId="5" applyNumberFormat="1" applyFont="1" applyFill="1" applyBorder="1" applyProtection="1">
      <protection locked="0"/>
    </xf>
    <xf numFmtId="167" fontId="33" fillId="7" borderId="43" xfId="5" applyNumberFormat="1" applyFont="1" applyFill="1" applyBorder="1" applyAlignment="1" applyProtection="1">
      <alignment horizontal="right" vertical="center"/>
      <protection locked="0"/>
    </xf>
    <xf numFmtId="167" fontId="33" fillId="0" borderId="44" xfId="5" applyNumberFormat="1" applyFont="1" applyFill="1" applyBorder="1" applyAlignment="1" applyProtection="1">
      <alignment horizontal="right" vertical="center"/>
      <protection locked="0"/>
    </xf>
    <xf numFmtId="0" fontId="33" fillId="15" borderId="36" xfId="0" applyFont="1" applyFill="1" applyBorder="1" applyAlignment="1">
      <alignment horizontal="left" vertical="center"/>
    </xf>
    <xf numFmtId="167" fontId="33" fillId="15" borderId="37" xfId="5" applyNumberFormat="1" applyFont="1" applyFill="1" applyBorder="1" applyAlignment="1" applyProtection="1">
      <alignment horizontal="right" vertical="center"/>
      <protection locked="0"/>
    </xf>
    <xf numFmtId="1" fontId="33" fillId="0" borderId="37" xfId="8" applyNumberFormat="1" applyFont="1" applyFill="1" applyBorder="1" applyAlignment="1" applyProtection="1">
      <alignment horizontal="right" vertical="center"/>
      <protection locked="0"/>
    </xf>
    <xf numFmtId="0" fontId="39" fillId="0" borderId="45" xfId="6" applyFont="1" applyBorder="1"/>
    <xf numFmtId="173" fontId="39" fillId="0" borderId="46" xfId="6" applyNumberFormat="1" applyFont="1" applyBorder="1" applyAlignment="1">
      <alignment horizontal="right"/>
    </xf>
    <xf numFmtId="0" fontId="39" fillId="0" borderId="47" xfId="6" applyFont="1" applyBorder="1"/>
    <xf numFmtId="173" fontId="39" fillId="0" borderId="0" xfId="6" applyNumberFormat="1" applyFont="1"/>
    <xf numFmtId="0" fontId="39" fillId="0" borderId="48" xfId="6" applyFont="1" applyBorder="1" applyAlignment="1">
      <alignment horizontal="left" indent="1"/>
    </xf>
    <xf numFmtId="173" fontId="39" fillId="0" borderId="37" xfId="6" applyNumberFormat="1" applyFont="1" applyBorder="1" applyAlignment="1" applyProtection="1">
      <alignment horizontal="right"/>
      <protection locked="0"/>
    </xf>
    <xf numFmtId="173" fontId="39" fillId="0" borderId="43" xfId="6" applyNumberFormat="1" applyFont="1" applyBorder="1" applyAlignment="1" applyProtection="1">
      <alignment horizontal="right"/>
      <protection locked="0"/>
    </xf>
    <xf numFmtId="167" fontId="31" fillId="0" borderId="37" xfId="5" applyNumberFormat="1" applyFont="1" applyFill="1" applyBorder="1" applyAlignment="1" applyProtection="1">
      <alignment horizontal="right" vertical="center"/>
    </xf>
    <xf numFmtId="167" fontId="31" fillId="0" borderId="49" xfId="5" applyNumberFormat="1" applyFont="1" applyFill="1" applyBorder="1" applyAlignment="1" applyProtection="1">
      <alignment horizontal="right" vertical="center"/>
    </xf>
    <xf numFmtId="167" fontId="31" fillId="0" borderId="46" xfId="5" applyNumberFormat="1" applyFont="1" applyFill="1" applyBorder="1" applyAlignment="1" applyProtection="1">
      <alignment horizontal="right" vertical="center"/>
    </xf>
    <xf numFmtId="167" fontId="33" fillId="0" borderId="43" xfId="5" applyNumberFormat="1" applyFont="1" applyFill="1" applyBorder="1" applyAlignment="1" applyProtection="1">
      <alignment horizontal="right" vertical="center"/>
      <protection locked="0"/>
    </xf>
    <xf numFmtId="167" fontId="33" fillId="0" borderId="51" xfId="5" applyNumberFormat="1" applyFont="1" applyFill="1" applyBorder="1" applyAlignment="1" applyProtection="1">
      <alignment horizontal="right" vertical="center"/>
      <protection locked="0"/>
    </xf>
    <xf numFmtId="167" fontId="33" fillId="7" borderId="52" xfId="5" applyNumberFormat="1" applyFont="1" applyFill="1" applyBorder="1" applyAlignment="1" applyProtection="1">
      <alignment horizontal="right" vertical="center"/>
      <protection locked="0"/>
    </xf>
    <xf numFmtId="167" fontId="33" fillId="0" borderId="53" xfId="5" applyNumberFormat="1" applyFont="1" applyFill="1" applyBorder="1" applyAlignment="1" applyProtection="1">
      <alignment horizontal="right" vertical="center"/>
      <protection locked="0"/>
    </xf>
    <xf numFmtId="0" fontId="39" fillId="0" borderId="0" xfId="6" applyFont="1"/>
    <xf numFmtId="49" fontId="40" fillId="0" borderId="0" xfId="6" applyNumberFormat="1" applyFont="1"/>
    <xf numFmtId="167" fontId="31" fillId="7" borderId="37" xfId="5" applyNumberFormat="1" applyFont="1" applyFill="1" applyBorder="1" applyAlignment="1" applyProtection="1">
      <alignment horizontal="right" vertical="center"/>
      <protection locked="0"/>
    </xf>
    <xf numFmtId="0" fontId="18" fillId="9" borderId="1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43" fontId="0" fillId="4" borderId="5" xfId="0" applyNumberFormat="1" applyFill="1" applyBorder="1" applyAlignment="1">
      <alignment vertical="center"/>
    </xf>
    <xf numFmtId="4" fontId="0" fillId="4" borderId="7" xfId="0" applyNumberFormat="1" applyFill="1" applyBorder="1" applyAlignment="1">
      <alignment vertical="center"/>
    </xf>
    <xf numFmtId="171" fontId="0" fillId="3" borderId="7" xfId="1" applyNumberFormat="1" applyFont="1" applyFill="1" applyBorder="1" applyAlignment="1">
      <alignment vertical="center"/>
    </xf>
    <xf numFmtId="171" fontId="0" fillId="7" borderId="7" xfId="1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17" borderId="0" xfId="0" applyFont="1" applyFill="1" applyAlignment="1">
      <alignment vertical="center"/>
    </xf>
    <xf numFmtId="0" fontId="20" fillId="17" borderId="0" xfId="0" applyFont="1" applyFill="1" applyAlignment="1">
      <alignment vertical="center"/>
    </xf>
    <xf numFmtId="3" fontId="42" fillId="0" borderId="0" xfId="0" applyNumberFormat="1" applyFont="1" applyAlignment="1">
      <alignment vertical="center"/>
    </xf>
    <xf numFmtId="167" fontId="42" fillId="17" borderId="0" xfId="1" applyNumberFormat="1" applyFont="1" applyFill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4" borderId="6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vertical="center"/>
    </xf>
    <xf numFmtId="0" fontId="43" fillId="3" borderId="0" xfId="0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10" fillId="7" borderId="0" xfId="0" applyFont="1" applyFill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167" fontId="10" fillId="4" borderId="10" xfId="1" applyNumberFormat="1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8" fillId="0" borderId="10" xfId="0" quotePrefix="1" applyFont="1" applyBorder="1" applyAlignment="1">
      <alignment vertical="center" wrapText="1"/>
    </xf>
    <xf numFmtId="168" fontId="10" fillId="2" borderId="5" xfId="0" applyNumberFormat="1" applyFont="1" applyFill="1" applyBorder="1" applyAlignment="1">
      <alignment vertical="center" wrapText="1"/>
    </xf>
    <xf numFmtId="0" fontId="44" fillId="0" borderId="36" xfId="0" applyFont="1" applyBorder="1" applyAlignment="1">
      <alignment horizontal="left" vertical="center" indent="6"/>
    </xf>
    <xf numFmtId="0" fontId="44" fillId="0" borderId="36" xfId="0" applyFont="1" applyBorder="1" applyAlignment="1">
      <alignment horizontal="left" vertical="center" indent="4"/>
    </xf>
    <xf numFmtId="0" fontId="44" fillId="0" borderId="36" xfId="0" applyFont="1" applyBorder="1" applyAlignment="1">
      <alignment horizontal="left" vertical="center" indent="2"/>
    </xf>
    <xf numFmtId="0" fontId="45" fillId="0" borderId="36" xfId="0" applyFont="1" applyBorder="1" applyAlignment="1">
      <alignment horizontal="left" vertical="center" indent="4"/>
    </xf>
    <xf numFmtId="0" fontId="44" fillId="0" borderId="36" xfId="0" applyFont="1" applyBorder="1" applyAlignment="1">
      <alignment horizontal="left" vertical="center"/>
    </xf>
    <xf numFmtId="0" fontId="44" fillId="7" borderId="40" xfId="0" applyFont="1" applyFill="1" applyBorder="1" applyAlignment="1">
      <alignment horizontal="left" vertical="center" indent="2"/>
    </xf>
    <xf numFmtId="0" fontId="46" fillId="0" borderId="36" xfId="0" applyFont="1" applyBorder="1" applyAlignment="1">
      <alignment horizontal="left"/>
    </xf>
    <xf numFmtId="167" fontId="33" fillId="0" borderId="37" xfId="5" applyNumberFormat="1" applyFont="1" applyFill="1" applyBorder="1" applyAlignment="1" applyProtection="1">
      <alignment horizontal="right"/>
      <protection locked="0"/>
    </xf>
    <xf numFmtId="0" fontId="47" fillId="15" borderId="36" xfId="0" applyFont="1" applyFill="1" applyBorder="1" applyAlignment="1">
      <alignment horizontal="left" vertical="center"/>
    </xf>
    <xf numFmtId="0" fontId="44" fillId="0" borderId="36" xfId="0" applyFont="1" applyBorder="1" applyAlignment="1">
      <alignment horizontal="left"/>
    </xf>
    <xf numFmtId="0" fontId="47" fillId="7" borderId="36" xfId="0" applyFont="1" applyFill="1" applyBorder="1" applyAlignment="1">
      <alignment horizontal="left" vertical="center"/>
    </xf>
    <xf numFmtId="0" fontId="44" fillId="0" borderId="50" xfId="0" applyFont="1" applyBorder="1" applyAlignment="1">
      <alignment horizontal="left" vertical="center"/>
    </xf>
    <xf numFmtId="9" fontId="0" fillId="0" borderId="0" xfId="0" applyNumberFormat="1"/>
    <xf numFmtId="9" fontId="0" fillId="0" borderId="0" xfId="3" applyFont="1"/>
    <xf numFmtId="171" fontId="0" fillId="0" borderId="0" xfId="1" applyNumberFormat="1" applyFont="1"/>
    <xf numFmtId="171" fontId="0" fillId="0" borderId="0" xfId="1" applyNumberFormat="1" applyFont="1" applyAlignment="1">
      <alignment vertical="center"/>
    </xf>
    <xf numFmtId="166" fontId="33" fillId="0" borderId="37" xfId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4" fontId="0" fillId="0" borderId="0" xfId="0" applyNumberFormat="1"/>
    <xf numFmtId="0" fontId="10" fillId="0" borderId="22" xfId="0" applyFont="1" applyBorder="1" applyAlignment="1">
      <alignment vertical="center" wrapText="1"/>
    </xf>
    <xf numFmtId="1" fontId="51" fillId="0" borderId="0" xfId="4" applyNumberFormat="1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10" borderId="0" xfId="0" applyFill="1"/>
    <xf numFmtId="0" fontId="13" fillId="10" borderId="0" xfId="0" applyFont="1" applyFill="1"/>
    <xf numFmtId="0" fontId="52" fillId="18" borderId="36" xfId="0" quotePrefix="1" applyFont="1" applyFill="1" applyBorder="1" applyAlignment="1">
      <alignment horizontal="left" vertical="center" indent="4"/>
    </xf>
    <xf numFmtId="0" fontId="45" fillId="0" borderId="36" xfId="0" applyFont="1" applyBorder="1" applyAlignment="1">
      <alignment horizontal="left" vertical="center" indent="3"/>
    </xf>
    <xf numFmtId="0" fontId="45" fillId="15" borderId="36" xfId="0" applyFont="1" applyFill="1" applyBorder="1" applyAlignment="1">
      <alignment horizontal="left" vertical="center" indent="3"/>
    </xf>
    <xf numFmtId="9" fontId="31" fillId="15" borderId="37" xfId="3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>
      <alignment vertical="center"/>
    </xf>
    <xf numFmtId="171" fontId="0" fillId="3" borderId="9" xfId="1" applyNumberFormat="1" applyFont="1" applyFill="1" applyBorder="1" applyAlignment="1">
      <alignment vertical="center"/>
    </xf>
    <xf numFmtId="171" fontId="18" fillId="3" borderId="11" xfId="1" applyNumberFormat="1" applyFont="1" applyFill="1" applyBorder="1" applyAlignment="1">
      <alignment vertical="center" wrapText="1"/>
    </xf>
    <xf numFmtId="171" fontId="0" fillId="3" borderId="12" xfId="1" applyNumberFormat="1" applyFont="1" applyFill="1" applyBorder="1" applyAlignment="1">
      <alignment vertical="center"/>
    </xf>
    <xf numFmtId="171" fontId="42" fillId="0" borderId="0" xfId="1" applyNumberFormat="1" applyFont="1" applyAlignment="1">
      <alignment vertical="center"/>
    </xf>
    <xf numFmtId="166" fontId="0" fillId="0" borderId="0" xfId="1" applyFont="1"/>
    <xf numFmtId="166" fontId="2" fillId="0" borderId="0" xfId="1" applyFont="1" applyAlignment="1">
      <alignment horizontal="center"/>
    </xf>
    <xf numFmtId="1" fontId="21" fillId="6" borderId="0" xfId="0" applyNumberFormat="1" applyFont="1" applyFill="1" applyAlignment="1">
      <alignment horizontal="center"/>
    </xf>
    <xf numFmtId="1" fontId="24" fillId="6" borderId="0" xfId="4" applyNumberFormat="1" applyFont="1" applyFill="1" applyAlignment="1">
      <alignment horizontal="center"/>
    </xf>
    <xf numFmtId="1" fontId="25" fillId="6" borderId="0" xfId="4" applyNumberFormat="1" applyFont="1" applyFill="1" applyAlignment="1">
      <alignment horizontal="center"/>
    </xf>
    <xf numFmtId="1" fontId="26" fillId="12" borderId="0" xfId="4" applyNumberFormat="1" applyFont="1" applyFill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textRotation="255" wrapText="1"/>
    </xf>
    <xf numFmtId="0" fontId="2" fillId="6" borderId="7" xfId="0" applyFont="1" applyFill="1" applyBorder="1" applyAlignment="1">
      <alignment horizontal="center" vertical="center" textRotation="255" wrapText="1"/>
    </xf>
    <xf numFmtId="0" fontId="2" fillId="6" borderId="9" xfId="0" applyFont="1" applyFill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5" borderId="10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right" vertical="center" wrapText="1"/>
    </xf>
    <xf numFmtId="0" fontId="13" fillId="5" borderId="8" xfId="0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167" fontId="2" fillId="8" borderId="19" xfId="1" applyNumberFormat="1" applyFont="1" applyFill="1" applyBorder="1" applyAlignment="1">
      <alignment horizontal="center" vertical="center"/>
    </xf>
    <xf numFmtId="167" fontId="2" fillId="8" borderId="17" xfId="1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54" fillId="0" borderId="0" xfId="0" quotePrefix="1" applyFont="1" applyAlignment="1">
      <alignment horizontal="justify" vertical="top" wrapText="1"/>
    </xf>
    <xf numFmtId="0" fontId="13" fillId="0" borderId="0" xfId="0" applyFont="1" applyAlignment="1">
      <alignment horizontal="center"/>
    </xf>
    <xf numFmtId="0" fontId="55" fillId="0" borderId="0" xfId="0" applyFont="1"/>
  </cellXfs>
  <cellStyles count="14">
    <cellStyle name="Millares" xfId="1" builtinId="3"/>
    <cellStyle name="Millares 2" xfId="5" xr:uid="{8A201A37-C0D9-4B98-860D-8277963AF58E}"/>
    <cellStyle name="Millares 2 2" xfId="7" xr:uid="{F6646B9E-B5C1-4141-8CBB-9A9F9378235B}"/>
    <cellStyle name="Millares 2 2 2" xfId="12" xr:uid="{2F06CE22-1140-46D5-AA74-4F10776E88A9}"/>
    <cellStyle name="Millares 3" xfId="11" xr:uid="{BC02932E-1D29-4933-91E3-02E6683E28EA}"/>
    <cellStyle name="Millares 4" xfId="9" xr:uid="{6E2E393E-BCE4-4818-AF4F-7606F59BF0B3}"/>
    <cellStyle name="Moneda" xfId="2" builtinId="4"/>
    <cellStyle name="Moneda 2" xfId="8" xr:uid="{1B49A2D1-98AC-4648-97A9-064B46468751}"/>
    <cellStyle name="Moneda 3" xfId="13" xr:uid="{6147E279-964C-4C9A-8168-93030D54172D}"/>
    <cellStyle name="Normal" xfId="0" builtinId="0"/>
    <cellStyle name="Normal 2_ALDAMA 03 MAR 2009 MODIF_PIGOO CONCENTRADOPROG_INDIC_GESTION ORG  OP rvh" xfId="6" xr:uid="{24ABCF42-95D7-443E-AFFF-754BEA93A2D7}"/>
    <cellStyle name="Normal 3" xfId="10" xr:uid="{2549EE83-6ACF-4F3F-A033-1B9622785916}"/>
    <cellStyle name="Normal_FORMATO DEL PPTO. 2002  SEPT. 4" xfId="4" xr:uid="{791CE883-0653-49E4-93DB-C121FA9F2972}"/>
    <cellStyle name="Porcentaje" xfId="3" builtinId="5"/>
  </cellStyles>
  <dxfs count="0"/>
  <tableStyles count="0" defaultTableStyle="TableStyleMedium2" defaultPivotStyle="PivotStyleLight16"/>
  <colors>
    <mruColors>
      <color rgb="FF0000CC"/>
      <color rgb="FF5D26F8"/>
      <color rgb="FFEA3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35392992077108E-2"/>
          <c:y val="0.11783958695317483"/>
          <c:w val="0.94133384164968203"/>
          <c:h val="0.55284773846965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graficos!$A$4</c:f>
              <c:strCache>
                <c:ptCount val="1"/>
                <c:pt idx="0">
                  <c:v>Eficiencia Física</c:v>
                </c:pt>
              </c:strCache>
            </c:strRef>
          </c:tx>
          <c:spPr>
            <a:solidFill>
              <a:srgbClr val="EA38F8">
                <a:alpha val="87843"/>
              </a:srgb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graficos!$B$4:$M$4</c:f>
              <c:numCache>
                <c:formatCode>0%</c:formatCode>
                <c:ptCount val="12"/>
                <c:pt idx="0">
                  <c:v>0.53272493573264779</c:v>
                </c:pt>
                <c:pt idx="1">
                  <c:v>0.38622108782968284</c:v>
                </c:pt>
                <c:pt idx="2">
                  <c:v>0.21186575981096528</c:v>
                </c:pt>
                <c:pt idx="3">
                  <c:v>0.24225431094910976</c:v>
                </c:pt>
                <c:pt idx="4">
                  <c:v>0.67059983184994054</c:v>
                </c:pt>
                <c:pt idx="5">
                  <c:v>0</c:v>
                </c:pt>
                <c:pt idx="6">
                  <c:v>0.7278841935955549</c:v>
                </c:pt>
                <c:pt idx="7">
                  <c:v>0.22220298991518553</c:v>
                </c:pt>
                <c:pt idx="8">
                  <c:v>0</c:v>
                </c:pt>
                <c:pt idx="9">
                  <c:v>0.26878672183992136</c:v>
                </c:pt>
                <c:pt idx="10">
                  <c:v>0.77911187345149613</c:v>
                </c:pt>
                <c:pt idx="11">
                  <c:v>0.38542101658676731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E-472D-8551-80AA0CC26E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axId val="380549007"/>
        <c:axId val="369217999"/>
      </c:barChart>
      <c:lineChart>
        <c:grouping val="standard"/>
        <c:varyColors val="0"/>
        <c:ser>
          <c:idx val="1"/>
          <c:order val="1"/>
          <c:tx>
            <c:strRef>
              <c:f>graficos!$A$5</c:f>
              <c:strCache>
                <c:ptCount val="1"/>
                <c:pt idx="0">
                  <c:v>Saltillo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E-472D-8551-80AA0CC26E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CE-472D-8551-80AA0CC26E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E-472D-8551-80AA0CC26E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CE-472D-8551-80AA0CC26E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E-472D-8551-80AA0CC26E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CE-472D-8551-80AA0CC26E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E-472D-8551-80AA0CC26E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CE-472D-8551-80AA0CC26E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E-472D-8551-80AA0CC26E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CE-472D-8551-80AA0CC26E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E-472D-8551-80AA0CC26EF2}"/>
                </c:ext>
              </c:extLst>
            </c:dLbl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graficos!$B$5:$M$5</c:f>
              <c:numCache>
                <c:formatCode>0%</c:formatCode>
                <c:ptCount val="12"/>
                <c:pt idx="0">
                  <c:v>0.74</c:v>
                </c:pt>
                <c:pt idx="1">
                  <c:v>0.74</c:v>
                </c:pt>
                <c:pt idx="2">
                  <c:v>0.74</c:v>
                </c:pt>
                <c:pt idx="3">
                  <c:v>0.74</c:v>
                </c:pt>
                <c:pt idx="4">
                  <c:v>0.74</c:v>
                </c:pt>
                <c:pt idx="5">
                  <c:v>0.74</c:v>
                </c:pt>
                <c:pt idx="6">
                  <c:v>0.74</c:v>
                </c:pt>
                <c:pt idx="7">
                  <c:v>0.74</c:v>
                </c:pt>
                <c:pt idx="8">
                  <c:v>0.74</c:v>
                </c:pt>
                <c:pt idx="9">
                  <c:v>0.74</c:v>
                </c:pt>
                <c:pt idx="10">
                  <c:v>0.74</c:v>
                </c:pt>
                <c:pt idx="11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E-472D-8551-80AA0CC26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549007"/>
        <c:axId val="369217999"/>
      </c:lineChart>
      <c:catAx>
        <c:axId val="380549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217999"/>
        <c:crosses val="autoZero"/>
        <c:auto val="1"/>
        <c:lblAlgn val="ctr"/>
        <c:lblOffset val="100"/>
        <c:noMultiLvlLbl val="0"/>
      </c:catAx>
      <c:valAx>
        <c:axId val="369217999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80549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graficos!$A$25</c:f>
              <c:strCache>
                <c:ptCount val="1"/>
                <c:pt idx="0">
                  <c:v>Eficiencia Comercial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accent5"/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graficos!$B$24:$M$24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graficos!$B$25:$M$25</c:f>
              <c:numCache>
                <c:formatCode>0%</c:formatCode>
                <c:ptCount val="12"/>
                <c:pt idx="0">
                  <c:v>0.69941610770641316</c:v>
                </c:pt>
                <c:pt idx="1">
                  <c:v>0.72551229508196724</c:v>
                </c:pt>
                <c:pt idx="2">
                  <c:v>0.69771414217533279</c:v>
                </c:pt>
                <c:pt idx="3">
                  <c:v>0.66501958689458684</c:v>
                </c:pt>
                <c:pt idx="4">
                  <c:v>0.66045566555704471</c:v>
                </c:pt>
                <c:pt idx="5">
                  <c:v>0.66449388115564156</c:v>
                </c:pt>
                <c:pt idx="6">
                  <c:v>0</c:v>
                </c:pt>
                <c:pt idx="7">
                  <c:v>0.5679143946537657</c:v>
                </c:pt>
                <c:pt idx="8">
                  <c:v>0.76096221621178595</c:v>
                </c:pt>
                <c:pt idx="9">
                  <c:v>0.55447818321000253</c:v>
                </c:pt>
                <c:pt idx="10">
                  <c:v>0.73576320939334638</c:v>
                </c:pt>
                <c:pt idx="11">
                  <c:v>0.72666204385888877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4-4EA0-B0A8-7930B6D1A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axId val="414081423"/>
        <c:axId val="369169327"/>
      </c:barChart>
      <c:lineChart>
        <c:grouping val="standard"/>
        <c:varyColors val="0"/>
        <c:ser>
          <c:idx val="1"/>
          <c:order val="1"/>
          <c:tx>
            <c:strRef>
              <c:f>graficos!$A$26</c:f>
              <c:strCache>
                <c:ptCount val="1"/>
                <c:pt idx="0">
                  <c:v>Monterrey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84-4EA0-B0A8-7930B6D1A2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84-4EA0-B0A8-7930B6D1A2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84-4EA0-B0A8-7930B6D1A2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84-4EA0-B0A8-7930B6D1A25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84-4EA0-B0A8-7930B6D1A2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84-4EA0-B0A8-7930B6D1A25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84-4EA0-B0A8-7930B6D1A25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84-4EA0-B0A8-7930B6D1A25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84-4EA0-B0A8-7930B6D1A25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84-4EA0-B0A8-7930B6D1A25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84-4EA0-B0A8-7930B6D1A252}"/>
                </c:ext>
              </c:extLst>
            </c:dLbl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graficos!$B$26:$M$26</c:f>
              <c:numCache>
                <c:formatCode>0%</c:formatCode>
                <c:ptCount val="12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4-4EA0-B0A8-7930B6D1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81423"/>
        <c:axId val="369169327"/>
      </c:lineChart>
      <c:catAx>
        <c:axId val="41408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169327"/>
        <c:crosses val="autoZero"/>
        <c:auto val="1"/>
        <c:lblAlgn val="ctr"/>
        <c:lblOffset val="100"/>
        <c:noMultiLvlLbl val="0"/>
      </c:catAx>
      <c:valAx>
        <c:axId val="369169327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1408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764231718226232E-2"/>
          <c:y val="1.8518518518518517E-2"/>
          <c:w val="0.94077010036666764"/>
          <c:h val="0.69234361329833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graficos!$A$47</c:f>
              <c:strCache>
                <c:ptCount val="1"/>
                <c:pt idx="0">
                  <c:v>Eficiencia Cobranza</c:v>
                </c:pt>
              </c:strCache>
            </c:strRef>
          </c:tx>
          <c:spPr>
            <a:solidFill>
              <a:srgbClr val="00B0F0">
                <a:alpha val="88000"/>
              </a:srgb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rgbClr val="0070C0">
                  <a:alpha val="60000"/>
                </a:srgb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graficos!$B$46:$M$46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graficos!$B$47:$M$47</c:f>
              <c:numCache>
                <c:formatCode>0%</c:formatCode>
                <c:ptCount val="12"/>
                <c:pt idx="0">
                  <c:v>112.69446874350766</c:v>
                </c:pt>
                <c:pt idx="1">
                  <c:v>103.39103891392999</c:v>
                </c:pt>
                <c:pt idx="2">
                  <c:v>114.55274122350329</c:v>
                </c:pt>
                <c:pt idx="3">
                  <c:v>106.47207824076966</c:v>
                </c:pt>
                <c:pt idx="4">
                  <c:v>108.76716438461185</c:v>
                </c:pt>
                <c:pt idx="5">
                  <c:v>121.14451209511667</c:v>
                </c:pt>
                <c:pt idx="6">
                  <c:v>125.37122933354102</c:v>
                </c:pt>
                <c:pt idx="7">
                  <c:v>124.20723626206072</c:v>
                </c:pt>
                <c:pt idx="8">
                  <c:v>113.0456243015297</c:v>
                </c:pt>
                <c:pt idx="9">
                  <c:v>120.92229844222443</c:v>
                </c:pt>
                <c:pt idx="10">
                  <c:v>120.31854085465919</c:v>
                </c:pt>
                <c:pt idx="11">
                  <c:v>114.5643069492673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5-474A-9775-FE47CD99C6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axId val="513362511"/>
        <c:axId val="206983487"/>
      </c:barChart>
      <c:lineChart>
        <c:grouping val="standard"/>
        <c:varyColors val="0"/>
        <c:ser>
          <c:idx val="1"/>
          <c:order val="1"/>
          <c:tx>
            <c:strRef>
              <c:f>graficos!$A$48</c:f>
              <c:strCache>
                <c:ptCount val="1"/>
                <c:pt idx="0">
                  <c:v>Monterrey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C5-474A-9775-FE47CD99C6D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C5-474A-9775-FE47CD99C6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C5-474A-9775-FE47CD99C6D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C5-474A-9775-FE47CD99C6D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C5-474A-9775-FE47CD99C6D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C5-474A-9775-FE47CD99C6D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C5-474A-9775-FE47CD99C6D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C5-474A-9775-FE47CD99C6D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C5-474A-9775-FE47CD99C6D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C5-474A-9775-FE47CD99C6D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C5-474A-9775-FE47CD99C6D6}"/>
                </c:ext>
              </c:extLst>
            </c:dLbl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graficos!$B$48:$M$48</c:f>
              <c:numCache>
                <c:formatCode>0%</c:formatCode>
                <c:ptCount val="12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C5-474A-9775-FE47CD99C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62511"/>
        <c:axId val="206983487"/>
      </c:lineChart>
      <c:catAx>
        <c:axId val="51336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983487"/>
        <c:crosses val="autoZero"/>
        <c:auto val="1"/>
        <c:lblAlgn val="ctr"/>
        <c:lblOffset val="100"/>
        <c:noMultiLvlLbl val="0"/>
      </c:catAx>
      <c:valAx>
        <c:axId val="206983487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13362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81557501941472"/>
          <c:y val="0.90798556430446198"/>
          <c:w val="0.4743686533565326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graficos!$A$69</c:f>
              <c:strCache>
                <c:ptCount val="1"/>
                <c:pt idx="0">
                  <c:v>Dotación l/h/d</c:v>
                </c:pt>
              </c:strCache>
            </c:strRef>
          </c:tx>
          <c:spPr>
            <a:solidFill>
              <a:schemeClr val="accent4">
                <a:lumMod val="75000"/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tx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graficos!$B$68:$M$68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graficos!$B$69:$M$69</c:f>
              <c:numCache>
                <c:formatCode>_(* #,##0_);_(* \(#,##0\);_(* "-"??_);_(@_)</c:formatCode>
                <c:ptCount val="12"/>
                <c:pt idx="0">
                  <c:v>435.09189498738345</c:v>
                </c:pt>
                <c:pt idx="1">
                  <c:v>565.29510191664133</c:v>
                </c:pt>
                <c:pt idx="2">
                  <c:v>1050.8308130066753</c:v>
                </c:pt>
                <c:pt idx="3">
                  <c:v>1037.162887667997</c:v>
                </c:pt>
                <c:pt idx="4">
                  <c:v>385.80012169151206</c:v>
                </c:pt>
                <c:pt idx="5">
                  <c:v>0</c:v>
                </c:pt>
                <c:pt idx="6">
                  <c:v>382.4670269689866</c:v>
                </c:pt>
                <c:pt idx="7">
                  <c:v>1227.7532704593855</c:v>
                </c:pt>
                <c:pt idx="8">
                  <c:v>0</c:v>
                </c:pt>
                <c:pt idx="9">
                  <c:v>978.47581381198665</c:v>
                </c:pt>
                <c:pt idx="10">
                  <c:v>293.43536928005153</c:v>
                </c:pt>
                <c:pt idx="11">
                  <c:v>669.60530789742131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8-480E-89E6-27E58CF8C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axId val="513376111"/>
        <c:axId val="206978911"/>
      </c:barChart>
      <c:lineChart>
        <c:grouping val="standard"/>
        <c:varyColors val="0"/>
        <c:ser>
          <c:idx val="1"/>
          <c:order val="1"/>
          <c:tx>
            <c:strRef>
              <c:f>graficos!$A$70</c:f>
              <c:strCache>
                <c:ptCount val="1"/>
                <c:pt idx="0">
                  <c:v>Consumo l/h/d</c:v>
                </c:pt>
              </c:strCache>
            </c:strRef>
          </c:tx>
          <c:spPr>
            <a:ln w="28575" cap="rnd">
              <a:solidFill>
                <a:srgbClr val="5D26F8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6">
                  <a:lumMod val="50000"/>
                  <a:alpha val="48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graficos!$B$68:$M$68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graficos!$B$70:$M$70</c:f>
              <c:numCache>
                <c:formatCode>_(* #,##0_);_(* \(#,##0\);_(* "-"??_);_(@_)</c:formatCode>
                <c:ptCount val="12"/>
                <c:pt idx="0">
                  <c:v>231.78430179494981</c:v>
                </c:pt>
                <c:pt idx="1">
                  <c:v>218.32888920703664</c:v>
                </c:pt>
                <c:pt idx="2">
                  <c:v>222.63506863043364</c:v>
                </c:pt>
                <c:pt idx="3">
                  <c:v>251.25718069399954</c:v>
                </c:pt>
                <c:pt idx="4">
                  <c:v>258.71749673401456</c:v>
                </c:pt>
                <c:pt idx="5">
                  <c:v>265.96530002326455</c:v>
                </c:pt>
                <c:pt idx="6">
                  <c:v>278.39170350221013</c:v>
                </c:pt>
                <c:pt idx="7">
                  <c:v>272.81044757422291</c:v>
                </c:pt>
                <c:pt idx="8">
                  <c:v>272.93348127203421</c:v>
                </c:pt>
                <c:pt idx="9">
                  <c:v>263.00130639417313</c:v>
                </c:pt>
                <c:pt idx="10">
                  <c:v>228.61898029671255</c:v>
                </c:pt>
                <c:pt idx="11">
                  <c:v>258.07995848171947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B8-480E-89E6-27E58CF8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76111"/>
        <c:axId val="206978911"/>
      </c:lineChart>
      <c:catAx>
        <c:axId val="513376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978911"/>
        <c:crosses val="autoZero"/>
        <c:auto val="1"/>
        <c:lblAlgn val="ctr"/>
        <c:lblOffset val="100"/>
        <c:noMultiLvlLbl val="0"/>
      </c:catAx>
      <c:valAx>
        <c:axId val="206978911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513376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graficos!$A$94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graficos!$B$94:$M$94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28-4C06-85AE-6EAC3D062D7E}"/>
            </c:ext>
          </c:extLst>
        </c:ser>
        <c:ser>
          <c:idx val="1"/>
          <c:order val="1"/>
          <c:tx>
            <c:strRef>
              <c:f>graficos!$A$95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graficos!$B$95:$M$95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8-4C06-85AE-6EAC3D062D7E}"/>
            </c:ext>
          </c:extLst>
        </c:ser>
        <c:ser>
          <c:idx val="2"/>
          <c:order val="2"/>
          <c:tx>
            <c:strRef>
              <c:f>graficos!$A$96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graficos!$B$96:$M$96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28-4C06-85AE-6EAC3D062D7E}"/>
            </c:ext>
          </c:extLst>
        </c:ser>
        <c:ser>
          <c:idx val="3"/>
          <c:order val="3"/>
          <c:tx>
            <c:strRef>
              <c:f>graficos!$A$97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graficos!$B$97:$M$97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28-4C06-85AE-6EAC3D062D7E}"/>
            </c:ext>
          </c:extLst>
        </c:ser>
        <c:ser>
          <c:idx val="4"/>
          <c:order val="4"/>
          <c:tx>
            <c:strRef>
              <c:f>graficos!$A$98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graficos!$B$93:$M$93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graficos!$B$98:$M$98</c:f>
              <c:numCache>
                <c:formatCode>_(* #,##0_);_(* \(#,##0\);_(* "-"??_);_(@_)</c:formatCode>
                <c:ptCount val="12"/>
                <c:pt idx="0">
                  <c:v>1037.0983099999999</c:v>
                </c:pt>
                <c:pt idx="1">
                  <c:v>1084.3330700000001</c:v>
                </c:pt>
                <c:pt idx="2">
                  <c:v>1639.00874</c:v>
                </c:pt>
                <c:pt idx="3">
                  <c:v>1283.8585799999998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28-4C06-85AE-6EAC3D062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055631"/>
        <c:axId val="206974335"/>
      </c:lineChart>
      <c:catAx>
        <c:axId val="44605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974335"/>
        <c:crosses val="autoZero"/>
        <c:auto val="1"/>
        <c:lblAlgn val="ctr"/>
        <c:lblOffset val="100"/>
        <c:noMultiLvlLbl val="0"/>
      </c:catAx>
      <c:valAx>
        <c:axId val="20697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605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graficos!$A$119</c:f>
              <c:strCache>
                <c:ptCount val="1"/>
                <c:pt idx="0">
                  <c:v>Padron Usuarios 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graficos!$B$118:$M$118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graficos!$B$119:$M$119</c:f>
              <c:numCache>
                <c:formatCode>_(* #,##0_);_(* \(#,##0\);_(* "-"??_);_(@_)</c:formatCode>
                <c:ptCount val="12"/>
                <c:pt idx="0">
                  <c:v>1.9730000000000001</c:v>
                </c:pt>
                <c:pt idx="1">
                  <c:v>1.976</c:v>
                </c:pt>
                <c:pt idx="2">
                  <c:v>1.9730000000000001</c:v>
                </c:pt>
                <c:pt idx="3">
                  <c:v>1.9750000000000001</c:v>
                </c:pt>
                <c:pt idx="4">
                  <c:v>1.9830000000000001</c:v>
                </c:pt>
                <c:pt idx="5">
                  <c:v>1.984</c:v>
                </c:pt>
                <c:pt idx="6">
                  <c:v>1.9970000000000001</c:v>
                </c:pt>
                <c:pt idx="7">
                  <c:v>2.0089999999999999</c:v>
                </c:pt>
                <c:pt idx="8">
                  <c:v>2.0209999999999999</c:v>
                </c:pt>
                <c:pt idx="9">
                  <c:v>2.0209999999999999</c:v>
                </c:pt>
                <c:pt idx="10">
                  <c:v>2.0259999999999998</c:v>
                </c:pt>
                <c:pt idx="11">
                  <c:v>2.0310000000000001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4-42A8-ADDD-E75F9E71DB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828479"/>
        <c:axId val="369222575"/>
      </c:barChart>
      <c:lineChart>
        <c:grouping val="standard"/>
        <c:varyColors val="0"/>
        <c:ser>
          <c:idx val="1"/>
          <c:order val="1"/>
          <c:tx>
            <c:strRef>
              <c:f>graficos!$A$120</c:f>
              <c:strCache>
                <c:ptCount val="1"/>
                <c:pt idx="0">
                  <c:v>Con  Medición</c:v>
                </c:pt>
              </c:strCache>
            </c:strRef>
          </c:tx>
          <c:spPr>
            <a:ln w="15875" cap="rnd">
              <a:solidFill>
                <a:srgbClr val="5D26F8">
                  <a:alpha val="82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366163636424611E-3"/>
                  <c:y val="-3.359579497041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24-42A8-ADDD-E75F9E71DB88}"/>
                </c:ext>
              </c:extLst>
            </c:dLbl>
            <c:dLbl>
              <c:idx val="1"/>
              <c:layout>
                <c:manualLayout>
                  <c:x val="2.366163636424611E-3"/>
                  <c:y val="-3.359579497041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24-42A8-ADDD-E75F9E71DB88}"/>
                </c:ext>
              </c:extLst>
            </c:dLbl>
            <c:dLbl>
              <c:idx val="2"/>
              <c:layout>
                <c:manualLayout>
                  <c:x val="-4.3379165547962443E-17"/>
                  <c:y val="-3.7795269341720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24-42A8-ADDD-E75F9E71DB88}"/>
                </c:ext>
              </c:extLst>
            </c:dLbl>
            <c:dLbl>
              <c:idx val="3"/>
              <c:layout>
                <c:manualLayout>
                  <c:x val="2.3661636364245677E-3"/>
                  <c:y val="-3.7795269341720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24-42A8-ADDD-E75F9E71DB88}"/>
                </c:ext>
              </c:extLst>
            </c:dLbl>
            <c:dLbl>
              <c:idx val="4"/>
              <c:layout>
                <c:manualLayout>
                  <c:x val="4.7323272728492221E-3"/>
                  <c:y val="-3.3595794970418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24-42A8-ADDD-E75F9E71DB88}"/>
                </c:ext>
              </c:extLst>
            </c:dLbl>
            <c:dLbl>
              <c:idx val="5"/>
              <c:layout>
                <c:manualLayout>
                  <c:x val="0"/>
                  <c:y val="-3.7795269341720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24-42A8-ADDD-E75F9E71DB88}"/>
                </c:ext>
              </c:extLst>
            </c:dLbl>
            <c:dLbl>
              <c:idx val="6"/>
              <c:layout>
                <c:manualLayout>
                  <c:x val="-2.366163636424611E-3"/>
                  <c:y val="-3.7795269341720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24-42A8-ADDD-E75F9E71DB88}"/>
                </c:ext>
              </c:extLst>
            </c:dLbl>
            <c:dLbl>
              <c:idx val="7"/>
              <c:layout>
                <c:manualLayout>
                  <c:x val="-8.6758331095924885E-17"/>
                  <c:y val="-4.19947437130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24-42A8-ADDD-E75F9E71DB88}"/>
                </c:ext>
              </c:extLst>
            </c:dLbl>
            <c:dLbl>
              <c:idx val="8"/>
              <c:layout>
                <c:manualLayout>
                  <c:x val="2.3661636364244376E-3"/>
                  <c:y val="-3.7795269341720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24-42A8-ADDD-E75F9E71DB88}"/>
                </c:ext>
              </c:extLst>
            </c:dLbl>
            <c:dLbl>
              <c:idx val="9"/>
              <c:layout>
                <c:manualLayout>
                  <c:x val="0"/>
                  <c:y val="-3.7795269341720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24-42A8-ADDD-E75F9E71DB88}"/>
                </c:ext>
              </c:extLst>
            </c:dLbl>
            <c:dLbl>
              <c:idx val="10"/>
              <c:layout>
                <c:manualLayout>
                  <c:x val="-1.7351666219184977E-16"/>
                  <c:y val="-4.1994743713023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24-42A8-ADDD-E75F9E71DB88}"/>
                </c:ext>
              </c:extLst>
            </c:dLbl>
            <c:dLbl>
              <c:idx val="11"/>
              <c:layout>
                <c:manualLayout>
                  <c:x val="0"/>
                  <c:y val="-4.19947437130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A24-42A8-ADDD-E75F9E71DB88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graficos!$B$120:$M$120</c:f>
              <c:numCache>
                <c:formatCode>_(* #,##0_);_(* \(#,##0\);_(* "-"??_);_(@_)</c:formatCode>
                <c:ptCount val="12"/>
                <c:pt idx="0">
                  <c:v>1.778</c:v>
                </c:pt>
                <c:pt idx="1">
                  <c:v>1.7809999999999999</c:v>
                </c:pt>
                <c:pt idx="2">
                  <c:v>1.784</c:v>
                </c:pt>
                <c:pt idx="3">
                  <c:v>1.7909999999999999</c:v>
                </c:pt>
                <c:pt idx="4">
                  <c:v>1.7929999999999999</c:v>
                </c:pt>
                <c:pt idx="5">
                  <c:v>1.8009999999999999</c:v>
                </c:pt>
                <c:pt idx="6">
                  <c:v>1.806</c:v>
                </c:pt>
                <c:pt idx="7">
                  <c:v>1.8109999999999999</c:v>
                </c:pt>
                <c:pt idx="8">
                  <c:v>1.8180000000000001</c:v>
                </c:pt>
                <c:pt idx="9">
                  <c:v>1.82</c:v>
                </c:pt>
                <c:pt idx="10">
                  <c:v>1.825</c:v>
                </c:pt>
                <c:pt idx="11">
                  <c:v>1.827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24-42A8-ADDD-E75F9E71DB88}"/>
            </c:ext>
          </c:extLst>
        </c:ser>
        <c:ser>
          <c:idx val="2"/>
          <c:order val="2"/>
          <c:tx>
            <c:strRef>
              <c:f>graficos!$A$121</c:f>
              <c:strCache>
                <c:ptCount val="1"/>
                <c:pt idx="0">
                  <c:v>Servicio Continuo</c:v>
                </c:pt>
              </c:strCache>
            </c:strRef>
          </c:tx>
          <c:spPr>
            <a:ln w="15875" cap="rnd">
              <a:solidFill>
                <a:srgbClr val="FF0000">
                  <a:alpha val="9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4.19947437130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24-42A8-ADDD-E75F9E71DB88}"/>
                </c:ext>
              </c:extLst>
            </c:dLbl>
            <c:dLbl>
              <c:idx val="1"/>
              <c:layout>
                <c:manualLayout>
                  <c:x val="7.098490909273834E-3"/>
                  <c:y val="-3.7795269341720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24-42A8-ADDD-E75F9E71DB88}"/>
                </c:ext>
              </c:extLst>
            </c:dLbl>
            <c:dLbl>
              <c:idx val="2"/>
              <c:layout>
                <c:manualLayout>
                  <c:x val="2.366163636424611E-3"/>
                  <c:y val="-3.359579497041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24-42A8-ADDD-E75F9E71DB88}"/>
                </c:ext>
              </c:extLst>
            </c:dLbl>
            <c:dLbl>
              <c:idx val="3"/>
              <c:layout>
                <c:manualLayout>
                  <c:x val="9.4646545456984442E-3"/>
                  <c:y val="-3.7795269341720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24-42A8-ADDD-E75F9E71DB88}"/>
                </c:ext>
              </c:extLst>
            </c:dLbl>
            <c:dLbl>
              <c:idx val="4"/>
              <c:layout>
                <c:manualLayout>
                  <c:x val="0"/>
                  <c:y val="-4.19947437130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24-42A8-ADDD-E75F9E71DB88}"/>
                </c:ext>
              </c:extLst>
            </c:dLbl>
            <c:dLbl>
              <c:idx val="5"/>
              <c:layout>
                <c:manualLayout>
                  <c:x val="0"/>
                  <c:y val="-2.9396320599116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24-42A8-ADDD-E75F9E71DB88}"/>
                </c:ext>
              </c:extLst>
            </c:dLbl>
            <c:dLbl>
              <c:idx val="6"/>
              <c:layout>
                <c:manualLayout>
                  <c:x val="7.0984909092737473E-3"/>
                  <c:y val="-3.7795269341720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24-42A8-ADDD-E75F9E71DB88}"/>
                </c:ext>
              </c:extLst>
            </c:dLbl>
            <c:dLbl>
              <c:idx val="7"/>
              <c:layout>
                <c:manualLayout>
                  <c:x val="2.3661636364245243E-3"/>
                  <c:y val="-3.3595794970418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24-42A8-ADDD-E75F9E71DB88}"/>
                </c:ext>
              </c:extLst>
            </c:dLbl>
            <c:dLbl>
              <c:idx val="8"/>
              <c:layout>
                <c:manualLayout>
                  <c:x val="7.098490909273834E-3"/>
                  <c:y val="-4.6194218084325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24-42A8-ADDD-E75F9E71DB88}"/>
                </c:ext>
              </c:extLst>
            </c:dLbl>
            <c:dLbl>
              <c:idx val="9"/>
              <c:layout>
                <c:manualLayout>
                  <c:x val="4.7323272728492221E-3"/>
                  <c:y val="-3.3595794970418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24-42A8-ADDD-E75F9E71DB88}"/>
                </c:ext>
              </c:extLst>
            </c:dLbl>
            <c:dLbl>
              <c:idx val="10"/>
              <c:layout>
                <c:manualLayout>
                  <c:x val="7.098490909273834E-3"/>
                  <c:y val="-5.039369245562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24-42A8-ADDD-E75F9E71DB88}"/>
                </c:ext>
              </c:extLst>
            </c:dLbl>
            <c:dLbl>
              <c:idx val="11"/>
              <c:layout>
                <c:manualLayout>
                  <c:x val="2.3661636364244376E-3"/>
                  <c:y val="-2.9396320599116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24-42A8-ADDD-E75F9E71DB88}"/>
                </c:ext>
              </c:extLst>
            </c:dLbl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graficos!$B$121:$M$121</c:f>
              <c:numCache>
                <c:formatCode>_(* #,##0_);_(* \(#,##0\);_(* "-"??_);_(@_)</c:formatCode>
                <c:ptCount val="12"/>
                <c:pt idx="0">
                  <c:v>1.91</c:v>
                </c:pt>
                <c:pt idx="1">
                  <c:v>1.91</c:v>
                </c:pt>
                <c:pt idx="2">
                  <c:v>1.91</c:v>
                </c:pt>
                <c:pt idx="3">
                  <c:v>1.91</c:v>
                </c:pt>
                <c:pt idx="4">
                  <c:v>1.91</c:v>
                </c:pt>
                <c:pt idx="5">
                  <c:v>1.91</c:v>
                </c:pt>
                <c:pt idx="6">
                  <c:v>1.91</c:v>
                </c:pt>
                <c:pt idx="7">
                  <c:v>1.915</c:v>
                </c:pt>
                <c:pt idx="8">
                  <c:v>1.9159999999999999</c:v>
                </c:pt>
                <c:pt idx="9">
                  <c:v>1.92</c:v>
                </c:pt>
                <c:pt idx="10">
                  <c:v>1.9139999999999999</c:v>
                </c:pt>
                <c:pt idx="11">
                  <c:v>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24-42A8-ADDD-E75F9E71DB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828479"/>
        <c:axId val="369222575"/>
      </c:lineChart>
      <c:catAx>
        <c:axId val="205828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222575"/>
        <c:crosses val="autoZero"/>
        <c:auto val="1"/>
        <c:lblAlgn val="ctr"/>
        <c:lblOffset val="100"/>
        <c:noMultiLvlLbl val="0"/>
      </c:catAx>
      <c:valAx>
        <c:axId val="369222575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5828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graficos!$A$145</c:f>
              <c:strCache>
                <c:ptCount val="1"/>
                <c:pt idx="0">
                  <c:v>No. Empleados X cada 1,000 Tomas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graficos!$B$144:$M$144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graficos!$B$145:$M$145</c:f>
              <c:numCache>
                <c:formatCode>#,##0.00</c:formatCode>
                <c:ptCount val="12"/>
                <c:pt idx="0">
                  <c:v>3.0410542321338063</c:v>
                </c:pt>
                <c:pt idx="1">
                  <c:v>3.0364372469635628</c:v>
                </c:pt>
                <c:pt idx="2">
                  <c:v>3.0410542321338063</c:v>
                </c:pt>
                <c:pt idx="3">
                  <c:v>3.0379746835443036</c:v>
                </c:pt>
                <c:pt idx="4">
                  <c:v>3.02571860816944</c:v>
                </c:pt>
                <c:pt idx="5">
                  <c:v>3.024193548387097</c:v>
                </c:pt>
                <c:pt idx="6">
                  <c:v>3.00450676014021</c:v>
                </c:pt>
                <c:pt idx="7">
                  <c:v>2.9865604778496766</c:v>
                </c:pt>
                <c:pt idx="8">
                  <c:v>2.9688273132112815</c:v>
                </c:pt>
                <c:pt idx="9">
                  <c:v>2.9688273132112815</c:v>
                </c:pt>
                <c:pt idx="10">
                  <c:v>2.9615004935834159</c:v>
                </c:pt>
                <c:pt idx="11">
                  <c:v>2.954209748892171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46-49D3-B37E-8B2D21032341}"/>
            </c:ext>
          </c:extLst>
        </c:ser>
        <c:ser>
          <c:idx val="1"/>
          <c:order val="1"/>
          <c:tx>
            <c:strRef>
              <c:f>graficos!$A$146</c:f>
              <c:strCache>
                <c:ptCount val="1"/>
                <c:pt idx="0">
                  <c:v>Saltillo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46-49D3-B37E-8B2D2103234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46-49D3-B37E-8B2D210323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46-49D3-B37E-8B2D210323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46-49D3-B37E-8B2D210323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46-49D3-B37E-8B2D210323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46-49D3-B37E-8B2D210323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46-49D3-B37E-8B2D2103234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46-49D3-B37E-8B2D2103234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46-49D3-B37E-8B2D2103234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46-49D3-B37E-8B2D2103234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46-49D3-B37E-8B2D21032341}"/>
                </c:ext>
              </c:extLst>
            </c:dLbl>
            <c:dLbl>
              <c:idx val="11"/>
              <c:layout>
                <c:manualLayout>
                  <c:x val="-7.7546199492972171E-3"/>
                  <c:y val="-1.790740002002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46-49D3-B37E-8B2D21032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graficos!$B$146:$M$146</c:f>
              <c:numCache>
                <c:formatCode>General</c:formatCode>
                <c:ptCount val="12"/>
                <c:pt idx="0">
                  <c:v>1.68</c:v>
                </c:pt>
                <c:pt idx="1">
                  <c:v>1.68</c:v>
                </c:pt>
                <c:pt idx="2">
                  <c:v>1.68</c:v>
                </c:pt>
                <c:pt idx="3">
                  <c:v>1.68</c:v>
                </c:pt>
                <c:pt idx="4">
                  <c:v>1.68</c:v>
                </c:pt>
                <c:pt idx="5">
                  <c:v>1.68</c:v>
                </c:pt>
                <c:pt idx="6">
                  <c:v>1.68</c:v>
                </c:pt>
                <c:pt idx="7">
                  <c:v>1.68</c:v>
                </c:pt>
                <c:pt idx="8">
                  <c:v>1.68</c:v>
                </c:pt>
                <c:pt idx="9">
                  <c:v>1.68</c:v>
                </c:pt>
                <c:pt idx="10">
                  <c:v>1.68</c:v>
                </c:pt>
                <c:pt idx="11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6-49D3-B37E-8B2D2103234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5053967"/>
        <c:axId val="369231727"/>
      </c:lineChart>
      <c:catAx>
        <c:axId val="455053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231727"/>
        <c:crosses val="autoZero"/>
        <c:auto val="1"/>
        <c:lblAlgn val="ctr"/>
        <c:lblOffset val="100"/>
        <c:noMultiLvlLbl val="0"/>
      </c:catAx>
      <c:valAx>
        <c:axId val="36923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5053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201934399054E-2"/>
          <c:y val="9.4623650951820404E-2"/>
          <c:w val="0.88389129483814521"/>
          <c:h val="0.58418671624380281"/>
        </c:manualLayout>
      </c:layout>
      <c:lineChart>
        <c:grouping val="standard"/>
        <c:varyColors val="0"/>
        <c:ser>
          <c:idx val="0"/>
          <c:order val="0"/>
          <c:tx>
            <c:strRef>
              <c:f>graficos!$A$175</c:f>
              <c:strCache>
                <c:ptCount val="1"/>
                <c:pt idx="0">
                  <c:v>Costo Por m3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graficos!$B$174:$M$174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graficos!$B$175:$M$175</c:f>
              <c:numCache>
                <c:formatCode>0.00</c:formatCode>
                <c:ptCount val="12"/>
                <c:pt idx="0">
                  <c:v>2.7977547557840619</c:v>
                </c:pt>
                <c:pt idx="1">
                  <c:v>2.8297099384658</c:v>
                </c:pt>
                <c:pt idx="2">
                  <c:v>1.247587146491256</c:v>
                </c:pt>
                <c:pt idx="3">
                  <c:v>1.4823027316157837</c:v>
                </c:pt>
                <c:pt idx="4">
                  <c:v>3.5886640767691995</c:v>
                </c:pt>
                <c:pt idx="5">
                  <c:v>0</c:v>
                </c:pt>
                <c:pt idx="6">
                  <c:v>4.1485909300511299</c:v>
                </c:pt>
                <c:pt idx="7">
                  <c:v>1.3951796955424574</c:v>
                </c:pt>
                <c:pt idx="8">
                  <c:v>0</c:v>
                </c:pt>
                <c:pt idx="9">
                  <c:v>0.22477526805514278</c:v>
                </c:pt>
                <c:pt idx="10">
                  <c:v>5.6998692586239761</c:v>
                </c:pt>
                <c:pt idx="11">
                  <c:v>1.5844035946347739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B-4D59-A910-99A0DA9C4CC3}"/>
            </c:ext>
          </c:extLst>
        </c:ser>
        <c:ser>
          <c:idx val="1"/>
          <c:order val="1"/>
          <c:tx>
            <c:strRef>
              <c:f>graficos!$A$176</c:f>
              <c:strCache>
                <c:ptCount val="1"/>
                <c:pt idx="0">
                  <c:v>Costo Promedio KWH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graficos!$B$174:$M$174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graficos!$B$176:$M$176</c:f>
              <c:numCache>
                <c:formatCode>0.00</c:formatCode>
                <c:ptCount val="12"/>
                <c:pt idx="0">
                  <c:v>1.8097454146365799</c:v>
                </c:pt>
                <c:pt idx="1">
                  <c:v>2.3109648385741526</c:v>
                </c:pt>
                <c:pt idx="2">
                  <c:v>2.221818974504786</c:v>
                </c:pt>
                <c:pt idx="3">
                  <c:v>2.0675137631238534</c:v>
                </c:pt>
                <c:pt idx="4">
                  <c:v>1.5415358846311908</c:v>
                </c:pt>
                <c:pt idx="5">
                  <c:v>2.8504486377485687</c:v>
                </c:pt>
                <c:pt idx="6">
                  <c:v>10.289200977148965</c:v>
                </c:pt>
                <c:pt idx="7">
                  <c:v>2.301066486364661</c:v>
                </c:pt>
                <c:pt idx="8">
                  <c:v>16.081159862647844</c:v>
                </c:pt>
                <c:pt idx="9">
                  <c:v>0.33448077021211453</c:v>
                </c:pt>
                <c:pt idx="10">
                  <c:v>4.7001750746503221</c:v>
                </c:pt>
                <c:pt idx="11">
                  <c:v>3.400863719479402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B-4D59-A910-99A0DA9C4CC3}"/>
            </c:ext>
          </c:extLst>
        </c:ser>
        <c:ser>
          <c:idx val="2"/>
          <c:order val="2"/>
          <c:tx>
            <c:strRef>
              <c:f>graficos!$A$177</c:f>
              <c:strCache>
                <c:ptCount val="1"/>
                <c:pt idx="0">
                  <c:v>KWH por m3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blipFill>
                <a:blip xmlns:r="http://schemas.openxmlformats.org/officeDocument/2006/relationships" r:embed="rId3"/>
                <a:tile tx="0" ty="0" sx="100000" sy="100000" flip="none" algn="tl"/>
              </a:blip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graficos!$B$174:$M$174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graficos!$B$177:$M$177</c:f>
              <c:numCache>
                <c:formatCode>0.00</c:formatCode>
                <c:ptCount val="12"/>
                <c:pt idx="0">
                  <c:v>1.5459383033419023</c:v>
                </c:pt>
                <c:pt idx="1">
                  <c:v>1.2244712213846185</c:v>
                </c:pt>
                <c:pt idx="2">
                  <c:v>0.56151610946131492</c:v>
                </c:pt>
                <c:pt idx="3">
                  <c:v>0.71694939015841863</c:v>
                </c:pt>
                <c:pt idx="4">
                  <c:v>2.3279795900617515</c:v>
                </c:pt>
                <c:pt idx="5">
                  <c:v>0</c:v>
                </c:pt>
                <c:pt idx="6">
                  <c:v>1.7238485158648926</c:v>
                </c:pt>
                <c:pt idx="7">
                  <c:v>0.60631872386557228</c:v>
                </c:pt>
                <c:pt idx="8">
                  <c:v>0</c:v>
                </c:pt>
                <c:pt idx="9">
                  <c:v>0.67201252829153424</c:v>
                </c:pt>
                <c:pt idx="10">
                  <c:v>1.2126929674099485</c:v>
                </c:pt>
                <c:pt idx="11">
                  <c:v>0.46588270666644394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B-4D59-A910-99A0DA9C4C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2396207"/>
        <c:axId val="369200527"/>
      </c:lineChart>
      <c:catAx>
        <c:axId val="382396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200527"/>
        <c:crosses val="autoZero"/>
        <c:auto val="1"/>
        <c:lblAlgn val="ctr"/>
        <c:lblOffset val="100"/>
        <c:noMultiLvlLbl val="0"/>
      </c:catAx>
      <c:valAx>
        <c:axId val="369200527"/>
        <c:scaling>
          <c:orientation val="minMax"/>
          <c:min val="0.30000000000000004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39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370757315659086E-2"/>
          <c:y val="0.90455128748170965"/>
          <c:w val="0.68981891461734446"/>
          <c:h val="7.0644124872721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graficos!$A$201</c:f>
              <c:strCache>
                <c:ptCount val="1"/>
                <c:pt idx="0">
                  <c:v>Precio Venta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graficos!$B$200:$M$200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graficos!$B$201:$M$201</c:f>
              <c:numCache>
                <c:formatCode>#,##0.00</c:formatCode>
                <c:ptCount val="12"/>
                <c:pt idx="0">
                  <c:v>19.513143367273077</c:v>
                </c:pt>
                <c:pt idx="1">
                  <c:v>20.445802766393442</c:v>
                </c:pt>
                <c:pt idx="2">
                  <c:v>19.97490881688018</c:v>
                </c:pt>
                <c:pt idx="3">
                  <c:v>18.901586093304843</c:v>
                </c:pt>
                <c:pt idx="4">
                  <c:v>18.851419739743204</c:v>
                </c:pt>
                <c:pt idx="5">
                  <c:v>18.533514445519156</c:v>
                </c:pt>
                <c:pt idx="6">
                  <c:v>18.337683808758541</c:v>
                </c:pt>
                <c:pt idx="7">
                  <c:v>18.884194169980731</c:v>
                </c:pt>
                <c:pt idx="8">
                  <c:v>19.35203589869683</c:v>
                </c:pt>
                <c:pt idx="9">
                  <c:v>19.551108275920729</c:v>
                </c:pt>
                <c:pt idx="10">
                  <c:v>21.014419275929548</c:v>
                </c:pt>
                <c:pt idx="11">
                  <c:v>20.477389269307448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8-4041-90B1-D9809104D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370079"/>
        <c:axId val="369190959"/>
      </c:barChart>
      <c:lineChart>
        <c:grouping val="standard"/>
        <c:varyColors val="0"/>
        <c:ser>
          <c:idx val="1"/>
          <c:order val="1"/>
          <c:tx>
            <c:strRef>
              <c:f>graficos!$A$202</c:f>
              <c:strCache>
                <c:ptCount val="1"/>
                <c:pt idx="0">
                  <c:v>Costo c/ Operación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graficos!$B$200:$M$200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graficos!$B$202:$M$202</c:f>
              <c:numCache>
                <c:formatCode>#,##0.00</c:formatCode>
                <c:ptCount val="12"/>
                <c:pt idx="0">
                  <c:v>6.3617077120822616</c:v>
                </c:pt>
                <c:pt idx="1">
                  <c:v>7.2135468233711242</c:v>
                </c:pt>
                <c:pt idx="2">
                  <c:v>5.1046755223467555</c:v>
                </c:pt>
                <c:pt idx="3">
                  <c:v>4.271931218928275</c:v>
                </c:pt>
                <c:pt idx="4">
                  <c:v>7.4462812744614846</c:v>
                </c:pt>
                <c:pt idx="5">
                  <c:v>0</c:v>
                </c:pt>
                <c:pt idx="6">
                  <c:v>24.259451089340548</c:v>
                </c:pt>
                <c:pt idx="7">
                  <c:v>3.8724895917791002</c:v>
                </c:pt>
                <c:pt idx="8">
                  <c:v>0</c:v>
                </c:pt>
                <c:pt idx="9">
                  <c:v>4.2785340984431084</c:v>
                </c:pt>
                <c:pt idx="10">
                  <c:v>14.086911759100438</c:v>
                </c:pt>
                <c:pt idx="11">
                  <c:v>7.2660843202432064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8-4041-90B1-D9809104D126}"/>
            </c:ext>
          </c:extLst>
        </c:ser>
        <c:ser>
          <c:idx val="2"/>
          <c:order val="2"/>
          <c:tx>
            <c:strRef>
              <c:f>graficos!$A$203</c:f>
              <c:strCache>
                <c:ptCount val="1"/>
                <c:pt idx="0">
                  <c:v>Costo c/ Inversión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graficos!$B$200:$M$200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graficos!$B$203:$M$203</c:f>
              <c:numCache>
                <c:formatCode>#,##0.00</c:formatCode>
                <c:ptCount val="12"/>
                <c:pt idx="0">
                  <c:v>6.3617077120822616</c:v>
                </c:pt>
                <c:pt idx="1">
                  <c:v>7.2135468233711242</c:v>
                </c:pt>
                <c:pt idx="2">
                  <c:v>5.1046755223467555</c:v>
                </c:pt>
                <c:pt idx="3">
                  <c:v>4.271931218928275</c:v>
                </c:pt>
                <c:pt idx="4">
                  <c:v>7.4462812744614846</c:v>
                </c:pt>
                <c:pt idx="5">
                  <c:v>0</c:v>
                </c:pt>
                <c:pt idx="6">
                  <c:v>24.259451089340548</c:v>
                </c:pt>
                <c:pt idx="7">
                  <c:v>3.8724895917791002</c:v>
                </c:pt>
                <c:pt idx="8">
                  <c:v>0</c:v>
                </c:pt>
                <c:pt idx="9">
                  <c:v>4.2785340984431084</c:v>
                </c:pt>
                <c:pt idx="10">
                  <c:v>14.086911759100438</c:v>
                </c:pt>
                <c:pt idx="11">
                  <c:v>7.2660843202432064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F8-4041-90B1-D9809104D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370079"/>
        <c:axId val="369190959"/>
      </c:lineChart>
      <c:catAx>
        <c:axId val="151037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190959"/>
        <c:crosses val="autoZero"/>
        <c:auto val="1"/>
        <c:lblAlgn val="ctr"/>
        <c:lblOffset val="100"/>
        <c:noMultiLvlLbl val="0"/>
      </c:catAx>
      <c:valAx>
        <c:axId val="369190959"/>
        <c:scaling>
          <c:orientation val="minMax"/>
          <c:max val="2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10370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7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816428</xdr:colOff>
      <xdr:row>0</xdr:row>
      <xdr:rowOff>13609</xdr:rowOff>
    </xdr:from>
    <xdr:ext cx="1141943" cy="1005152"/>
    <xdr:pic>
      <xdr:nvPicPr>
        <xdr:cNvPr id="2" name="3 Imagen">
          <a:extLst>
            <a:ext uri="{FF2B5EF4-FFF2-40B4-BE49-F238E27FC236}">
              <a16:creationId xmlns:a16="http://schemas.microsoft.com/office/drawing/2014/main" id="{58097C62-9D9E-4EC8-8189-CDDCCF358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1678" y="13609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3" name="4 Imagen">
          <a:extLst>
            <a:ext uri="{FF2B5EF4-FFF2-40B4-BE49-F238E27FC236}">
              <a16:creationId xmlns:a16="http://schemas.microsoft.com/office/drawing/2014/main" id="{DB22CA2D-6D9E-4E90-8C6D-094532DDD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" name="3 Imagen">
          <a:extLst>
            <a:ext uri="{FF2B5EF4-FFF2-40B4-BE49-F238E27FC236}">
              <a16:creationId xmlns:a16="http://schemas.microsoft.com/office/drawing/2014/main" id="{151DD97F-1B0C-4E53-BC03-9B46FEA3F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565313</xdr:colOff>
      <xdr:row>212</xdr:row>
      <xdr:rowOff>35874</xdr:rowOff>
    </xdr:from>
    <xdr:to>
      <xdr:col>7</xdr:col>
      <xdr:colOff>995245</xdr:colOff>
      <xdr:row>216</xdr:row>
      <xdr:rowOff>136072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3766A0E-7B8D-445B-8A0D-BAA9A19879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820" t="39820" r="14430" b="54119"/>
        <a:stretch/>
      </xdr:blipFill>
      <xdr:spPr>
        <a:xfrm>
          <a:off x="6375563" y="41156660"/>
          <a:ext cx="7015789" cy="862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0</xdr:rowOff>
    </xdr:from>
    <xdr:to>
      <xdr:col>14</xdr:col>
      <xdr:colOff>306763</xdr:colOff>
      <xdr:row>3</xdr:row>
      <xdr:rowOff>148500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577F9A-C9DA-4369-9193-48ED1F281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4475" y="0"/>
          <a:ext cx="208793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78562</xdr:colOff>
      <xdr:row>0</xdr:row>
      <xdr:rowOff>0</xdr:rowOff>
    </xdr:from>
    <xdr:to>
      <xdr:col>2</xdr:col>
      <xdr:colOff>355957</xdr:colOff>
      <xdr:row>3</xdr:row>
      <xdr:rowOff>148500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CE6542-982F-4A47-976C-A534A1B8B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" y="0"/>
          <a:ext cx="2230020" cy="72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0</xdr:row>
      <xdr:rowOff>0</xdr:rowOff>
    </xdr:from>
    <xdr:to>
      <xdr:col>14</xdr:col>
      <xdr:colOff>306763</xdr:colOff>
      <xdr:row>3</xdr:row>
      <xdr:rowOff>148500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FDC6F4-B18F-465A-AAEB-DCD97DDB4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4475" y="0"/>
          <a:ext cx="208793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78562</xdr:colOff>
      <xdr:row>0</xdr:row>
      <xdr:rowOff>0</xdr:rowOff>
    </xdr:from>
    <xdr:to>
      <xdr:col>2</xdr:col>
      <xdr:colOff>355957</xdr:colOff>
      <xdr:row>3</xdr:row>
      <xdr:rowOff>148500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8D503D-11D2-4AB5-895D-1B8898172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" y="0"/>
          <a:ext cx="2230020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647699</xdr:colOff>
      <xdr:row>5</xdr:row>
      <xdr:rowOff>100012</xdr:rowOff>
    </xdr:from>
    <xdr:to>
      <xdr:col>9</xdr:col>
      <xdr:colOff>428624</xdr:colOff>
      <xdr:row>20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4F4EFD-F433-4B88-8185-721A760F4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26</xdr:row>
      <xdr:rowOff>9525</xdr:rowOff>
    </xdr:from>
    <xdr:to>
      <xdr:col>10</xdr:col>
      <xdr:colOff>95250</xdr:colOff>
      <xdr:row>42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3E87D7C-A7F9-495C-94AD-1B372A468A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561975</xdr:colOff>
      <xdr:row>49</xdr:row>
      <xdr:rowOff>119062</xdr:rowOff>
    </xdr:from>
    <xdr:to>
      <xdr:col>9</xdr:col>
      <xdr:colOff>561975</xdr:colOff>
      <xdr:row>64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7666302-81D7-48D9-BCEE-28893A6292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23812</xdr:colOff>
      <xdr:row>71</xdr:row>
      <xdr:rowOff>161924</xdr:rowOff>
    </xdr:from>
    <xdr:to>
      <xdr:col>10</xdr:col>
      <xdr:colOff>552450</xdr:colOff>
      <xdr:row>88</xdr:row>
      <xdr:rowOff>114299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2F8B9B-1318-4B35-9823-402CC60CCB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833437</xdr:colOff>
      <xdr:row>99</xdr:row>
      <xdr:rowOff>52387</xdr:rowOff>
    </xdr:from>
    <xdr:to>
      <xdr:col>10</xdr:col>
      <xdr:colOff>319087</xdr:colOff>
      <xdr:row>113</xdr:row>
      <xdr:rowOff>128587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07BE45C-34BC-4084-96CC-84979F1DC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633412</xdr:colOff>
      <xdr:row>121</xdr:row>
      <xdr:rowOff>176211</xdr:rowOff>
    </xdr:from>
    <xdr:to>
      <xdr:col>10</xdr:col>
      <xdr:colOff>295275</xdr:colOff>
      <xdr:row>138</xdr:row>
      <xdr:rowOff>161924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5F8A444-7677-457C-86FD-6125BD2512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52387</xdr:colOff>
      <xdr:row>150</xdr:row>
      <xdr:rowOff>4761</xdr:rowOff>
    </xdr:from>
    <xdr:to>
      <xdr:col>9</xdr:col>
      <xdr:colOff>657225</xdr:colOff>
      <xdr:row>166</xdr:row>
      <xdr:rowOff>142874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FA6E24C2-A7D8-4AB9-9159-B5CA3EC65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766761</xdr:colOff>
      <xdr:row>178</xdr:row>
      <xdr:rowOff>80961</xdr:rowOff>
    </xdr:from>
    <xdr:to>
      <xdr:col>11</xdr:col>
      <xdr:colOff>285749</xdr:colOff>
      <xdr:row>194</xdr:row>
      <xdr:rowOff>66674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F062E248-D936-4CE4-BB76-F6CB6B6CA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206</xdr:row>
      <xdr:rowOff>66675</xdr:rowOff>
    </xdr:from>
    <xdr:to>
      <xdr:col>10</xdr:col>
      <xdr:colOff>609600</xdr:colOff>
      <xdr:row>224</xdr:row>
      <xdr:rowOff>28574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8E72CC3D-107A-4489-9B71-5E6EEF83CB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10</xdr:col>
      <xdr:colOff>433014</xdr:colOff>
      <xdr:row>79</xdr:row>
      <xdr:rowOff>161926</xdr:rowOff>
    </xdr:from>
    <xdr:to>
      <xdr:col>11</xdr:col>
      <xdr:colOff>283161</xdr:colOff>
      <xdr:row>82</xdr:row>
      <xdr:rowOff>66676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A9AA1CC1-0492-4E33-B8D1-AD131FB08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824539" y="15401926"/>
          <a:ext cx="697872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0.01951</cdr:x>
      <cdr:y>0.56716</cdr:y>
    </cdr:from>
    <cdr:to>
      <cdr:x>0.96438</cdr:x>
      <cdr:y>0.57612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92BCE3DF-BC7C-40F3-B809-CD64D7C0119D}"/>
            </a:ext>
          </a:extLst>
        </cdr:cNvPr>
        <cdr:cNvCxnSpPr/>
      </cdr:nvCxnSpPr>
      <cdr:spPr>
        <a:xfrm xmlns:a="http://schemas.openxmlformats.org/drawingml/2006/main" flipV="1">
          <a:off x="109538" y="1809751"/>
          <a:ext cx="5305425" cy="28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0.02092</cdr:x>
      <cdr:y>0.60697</cdr:y>
    </cdr:from>
    <cdr:to>
      <cdr:x>0.96579</cdr:x>
      <cdr:y>0.61592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1BE8B9C2-2DBB-4EE3-93DC-AA6DDAF1CD1B}"/>
            </a:ext>
          </a:extLst>
        </cdr:cNvPr>
        <cdr:cNvCxnSpPr/>
      </cdr:nvCxnSpPr>
      <cdr:spPr>
        <a:xfrm xmlns:a="http://schemas.openxmlformats.org/drawingml/2006/main" flipV="1">
          <a:off x="117475" y="1936750"/>
          <a:ext cx="5305425" cy="28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FD6D-F12D-4AA7-8DA6-2455CC5D7B7B}">
  <sheetPr>
    <tabColor rgb="FFFFFF00"/>
  </sheetPr>
  <dimension ref="A1:R223"/>
  <sheetViews>
    <sheetView tabSelected="1" zoomScale="70" zoomScaleNormal="70" workbookViewId="0">
      <pane ySplit="10" topLeftCell="A194" activePane="bottomLeft" state="frozen"/>
      <selection pane="bottomLeft" activeCell="V203" sqref="V203"/>
    </sheetView>
  </sheetViews>
  <sheetFormatPr baseColWidth="10" defaultRowHeight="15" x14ac:dyDescent="0.25"/>
  <cols>
    <col min="1" max="1" width="66.5703125" style="348" customWidth="1"/>
    <col min="2" max="2" width="20.5703125" style="337" customWidth="1"/>
    <col min="3" max="3" width="20" style="348" customWidth="1"/>
    <col min="4" max="4" width="19.140625" style="348" customWidth="1"/>
    <col min="5" max="5" width="19.5703125" style="348" customWidth="1"/>
    <col min="6" max="8" width="20" style="348" customWidth="1"/>
    <col min="9" max="9" width="20.5703125" style="348" customWidth="1"/>
    <col min="10" max="11" width="20" style="348" customWidth="1"/>
    <col min="12" max="12" width="20.5703125" style="348" customWidth="1"/>
    <col min="13" max="13" width="20" style="348" bestFit="1" customWidth="1"/>
    <col min="14" max="14" width="20.5703125" style="348" bestFit="1" customWidth="1"/>
    <col min="15" max="15" width="23.140625" style="348" hidden="1" customWidth="1"/>
    <col min="16" max="16" width="27.28515625" style="348" hidden="1" customWidth="1"/>
    <col min="17" max="17" width="22.140625" style="348" hidden="1" customWidth="1"/>
    <col min="18" max="18" width="9.28515625" style="349" hidden="1" customWidth="1"/>
    <col min="19" max="19" width="4.140625" customWidth="1"/>
    <col min="20" max="20" width="22" customWidth="1"/>
    <col min="21" max="21" width="21.28515625" customWidth="1"/>
    <col min="22" max="22" width="11.42578125" customWidth="1"/>
  </cols>
  <sheetData>
    <row r="1" spans="1:18" ht="20.25" x14ac:dyDescent="0.3">
      <c r="A1" s="411" t="s">
        <v>331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</row>
    <row r="2" spans="1:18" x14ac:dyDescent="0.2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18" ht="18" x14ac:dyDescent="0.25">
      <c r="A3" s="412" t="s">
        <v>124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</row>
    <row r="4" spans="1:18" ht="15.75" x14ac:dyDescent="0.25">
      <c r="A4" s="413" t="s">
        <v>332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</row>
    <row r="5" spans="1:18" x14ac:dyDescent="0.25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</row>
    <row r="6" spans="1:18" ht="8.25" customHeight="1" x14ac:dyDescent="0.25">
      <c r="A6" s="414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</row>
    <row r="7" spans="1:18" ht="8.25" customHeight="1" x14ac:dyDescent="0.25">
      <c r="A7" s="413"/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</row>
    <row r="8" spans="1:18" ht="15.75" x14ac:dyDescent="0.25">
      <c r="A8" s="249"/>
      <c r="B8" s="396"/>
      <c r="C8" s="250">
        <v>2</v>
      </c>
      <c r="D8" s="250">
        <v>0</v>
      </c>
      <c r="E8" s="250">
        <v>0</v>
      </c>
      <c r="F8" s="250">
        <v>0</v>
      </c>
      <c r="G8" s="250">
        <v>0</v>
      </c>
      <c r="H8" s="250">
        <v>0</v>
      </c>
      <c r="I8" s="250">
        <v>0</v>
      </c>
      <c r="J8" s="250">
        <v>0</v>
      </c>
      <c r="K8" s="250">
        <v>0</v>
      </c>
      <c r="L8" s="250">
        <v>0</v>
      </c>
      <c r="M8" s="250">
        <v>0</v>
      </c>
      <c r="N8" s="251"/>
      <c r="O8" s="251"/>
      <c r="P8" s="251"/>
      <c r="Q8" s="251"/>
      <c r="R8" s="252"/>
    </row>
    <row r="9" spans="1:18" ht="31.5" x14ac:dyDescent="0.25">
      <c r="A9" s="253" t="s">
        <v>125</v>
      </c>
      <c r="B9" s="254" t="s">
        <v>126</v>
      </c>
      <c r="C9" s="254" t="s">
        <v>127</v>
      </c>
      <c r="D9" s="254" t="s">
        <v>128</v>
      </c>
      <c r="E9" s="254" t="s">
        <v>129</v>
      </c>
      <c r="F9" s="254" t="s">
        <v>130</v>
      </c>
      <c r="G9" s="254" t="s">
        <v>131</v>
      </c>
      <c r="H9" s="254" t="s">
        <v>132</v>
      </c>
      <c r="I9" s="254" t="s">
        <v>133</v>
      </c>
      <c r="J9" s="254" t="s">
        <v>134</v>
      </c>
      <c r="K9" s="254" t="s">
        <v>135</v>
      </c>
      <c r="L9" s="254" t="s">
        <v>136</v>
      </c>
      <c r="M9" s="254" t="s">
        <v>137</v>
      </c>
      <c r="N9" s="254" t="s">
        <v>138</v>
      </c>
      <c r="O9" s="254" t="s">
        <v>139</v>
      </c>
      <c r="P9" s="254" t="s">
        <v>140</v>
      </c>
      <c r="Q9" s="254" t="s">
        <v>141</v>
      </c>
      <c r="R9" s="255" t="s">
        <v>142</v>
      </c>
    </row>
    <row r="10" spans="1:18" ht="15.75" x14ac:dyDescent="0.25">
      <c r="A10" s="256" t="s">
        <v>143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8"/>
    </row>
    <row r="11" spans="1:18" ht="15.75" x14ac:dyDescent="0.25">
      <c r="A11" s="259" t="s">
        <v>144</v>
      </c>
      <c r="B11" s="260">
        <f t="shared" ref="B11:M11" si="0">+B12+B19</f>
        <v>344215.93</v>
      </c>
      <c r="C11" s="260">
        <f t="shared" si="0"/>
        <v>418808.29999999993</v>
      </c>
      <c r="D11" s="260">
        <f t="shared" si="0"/>
        <v>406862.39999999997</v>
      </c>
      <c r="E11" s="260">
        <f t="shared" si="0"/>
        <v>365675.85000000003</v>
      </c>
      <c r="F11" s="260">
        <f t="shared" si="0"/>
        <v>530284.68999999994</v>
      </c>
      <c r="G11" s="260">
        <f t="shared" si="0"/>
        <v>470243.25</v>
      </c>
      <c r="H11" s="260">
        <f t="shared" si="0"/>
        <v>338664.45</v>
      </c>
      <c r="I11" s="260">
        <f t="shared" si="0"/>
        <v>604087.66999999993</v>
      </c>
      <c r="J11" s="260">
        <f t="shared" si="0"/>
        <v>514832.7900000001</v>
      </c>
      <c r="K11" s="260">
        <f t="shared" si="0"/>
        <v>428366.33999999997</v>
      </c>
      <c r="L11" s="260">
        <f t="shared" si="0"/>
        <v>651584.15</v>
      </c>
      <c r="M11" s="260">
        <f t="shared" si="0"/>
        <v>544546.19999999995</v>
      </c>
      <c r="N11" s="260">
        <f t="shared" ref="N11" si="1">+N12+N18</f>
        <v>5535179.8200000003</v>
      </c>
      <c r="O11" s="260">
        <f>+O12+O19</f>
        <v>0</v>
      </c>
      <c r="P11" s="260">
        <f t="shared" ref="P11" si="2">+P12+P19</f>
        <v>0</v>
      </c>
      <c r="Q11" s="260">
        <f>+N11-P11</f>
        <v>5535179.8200000003</v>
      </c>
      <c r="R11" s="261" t="e">
        <f>+Q11/P11</f>
        <v>#DIV/0!</v>
      </c>
    </row>
    <row r="12" spans="1:18" x14ac:dyDescent="0.25">
      <c r="A12" s="262" t="s">
        <v>145</v>
      </c>
      <c r="B12" s="263">
        <f>B13-B16-B17</f>
        <v>344215.93</v>
      </c>
      <c r="C12" s="263">
        <f>C13-C16-C17</f>
        <v>418808.29999999993</v>
      </c>
      <c r="D12" s="263">
        <f t="shared" ref="D12:M12" si="3">+D13-D16-D17</f>
        <v>406862.39999999997</v>
      </c>
      <c r="E12" s="263">
        <f t="shared" si="3"/>
        <v>365675.85000000003</v>
      </c>
      <c r="F12" s="263">
        <f t="shared" si="3"/>
        <v>530284.68999999994</v>
      </c>
      <c r="G12" s="263">
        <f t="shared" si="3"/>
        <v>470243.25</v>
      </c>
      <c r="H12" s="263">
        <f t="shared" si="3"/>
        <v>338664.45</v>
      </c>
      <c r="I12" s="263">
        <f t="shared" si="3"/>
        <v>521095.46999999991</v>
      </c>
      <c r="J12" s="263">
        <f t="shared" si="3"/>
        <v>514832.7900000001</v>
      </c>
      <c r="K12" s="263">
        <f t="shared" si="3"/>
        <v>428366.33999999997</v>
      </c>
      <c r="L12" s="263">
        <f t="shared" si="3"/>
        <v>651584.15</v>
      </c>
      <c r="M12" s="263">
        <f t="shared" si="3"/>
        <v>544546.19999999995</v>
      </c>
      <c r="N12" s="263">
        <f>+N13-N16-N17</f>
        <v>5535179.8200000003</v>
      </c>
      <c r="O12" s="263">
        <f>+O13+O16+O17</f>
        <v>0</v>
      </c>
      <c r="P12" s="263">
        <f>+P13+P16+P17</f>
        <v>0</v>
      </c>
      <c r="Q12" s="263">
        <f>+N12-P12</f>
        <v>5535179.8200000003</v>
      </c>
      <c r="R12" s="264" t="e">
        <f>+Q12/P12</f>
        <v>#DIV/0!</v>
      </c>
    </row>
    <row r="13" spans="1:18" x14ac:dyDescent="0.25">
      <c r="A13" s="265" t="s">
        <v>146</v>
      </c>
      <c r="B13" s="263">
        <f>+B14+B15</f>
        <v>371676.64</v>
      </c>
      <c r="C13" s="263">
        <f>+C14+C15</f>
        <v>453979.44999999995</v>
      </c>
      <c r="D13" s="263">
        <f t="shared" ref="D13:M13" si="4">+D14+D15</f>
        <v>437284.8</v>
      </c>
      <c r="E13" s="263">
        <f t="shared" si="4"/>
        <v>398202.65</v>
      </c>
      <c r="F13" s="263">
        <f t="shared" si="4"/>
        <v>563359.24</v>
      </c>
      <c r="G13" s="263">
        <f t="shared" si="4"/>
        <v>501064.95</v>
      </c>
      <c r="H13" s="263">
        <f t="shared" si="4"/>
        <v>363642.5</v>
      </c>
      <c r="I13" s="263">
        <f t="shared" si="4"/>
        <v>569340.67999999993</v>
      </c>
      <c r="J13" s="263">
        <f t="shared" si="4"/>
        <v>549399.71000000008</v>
      </c>
      <c r="K13" s="263">
        <f t="shared" si="4"/>
        <v>462127.85</v>
      </c>
      <c r="L13" s="263">
        <f t="shared" si="4"/>
        <v>686796.62</v>
      </c>
      <c r="M13" s="263">
        <f t="shared" si="4"/>
        <v>580997.0199999999</v>
      </c>
      <c r="N13" s="263">
        <f t="shared" ref="N13" si="5">+N14+N15</f>
        <v>5937872.1100000003</v>
      </c>
      <c r="O13" s="263">
        <f>+O14+O15</f>
        <v>0</v>
      </c>
      <c r="P13" s="263">
        <f>+P14+P15</f>
        <v>0</v>
      </c>
      <c r="Q13" s="263">
        <f>+N13-P13</f>
        <v>5937872.1100000003</v>
      </c>
      <c r="R13" s="264" t="e">
        <f>+Q13/P13</f>
        <v>#DIV/0!</v>
      </c>
    </row>
    <row r="14" spans="1:18" x14ac:dyDescent="0.25">
      <c r="A14" s="376" t="s">
        <v>147</v>
      </c>
      <c r="B14" s="266">
        <v>368705.84</v>
      </c>
      <c r="C14" s="266">
        <v>449000.04</v>
      </c>
      <c r="D14" s="266">
        <v>421456.63</v>
      </c>
      <c r="E14" s="266">
        <v>394156.65</v>
      </c>
      <c r="F14" s="266">
        <v>553657.99</v>
      </c>
      <c r="G14" s="266">
        <v>495074.17</v>
      </c>
      <c r="H14" s="267">
        <v>344173.5</v>
      </c>
      <c r="I14" s="267">
        <v>552950.49</v>
      </c>
      <c r="J14" s="267">
        <v>521751.78</v>
      </c>
      <c r="K14" s="266">
        <v>438718.56</v>
      </c>
      <c r="L14" s="266">
        <v>663921.93000000005</v>
      </c>
      <c r="M14" s="266">
        <v>568951.32999999996</v>
      </c>
      <c r="N14" s="266">
        <f t="shared" ref="N14:N19" si="6">SUM(B14:M14)</f>
        <v>5772518.9100000001</v>
      </c>
      <c r="O14" s="266"/>
      <c r="P14" s="266">
        <f t="shared" ref="P14:P19" si="7">+O14/12*$R$20</f>
        <v>0</v>
      </c>
      <c r="Q14" s="266">
        <f t="shared" ref="Q14:Q19" si="8">+N14-P14</f>
        <v>5772518.9100000001</v>
      </c>
      <c r="R14" s="268" t="e">
        <f t="shared" ref="R14:R34" si="9">+Q14/P14</f>
        <v>#DIV/0!</v>
      </c>
    </row>
    <row r="15" spans="1:18" x14ac:dyDescent="0.25">
      <c r="A15" s="376" t="s">
        <v>148</v>
      </c>
      <c r="B15" s="266">
        <v>2970.8</v>
      </c>
      <c r="C15" s="266">
        <v>4979.41</v>
      </c>
      <c r="D15" s="266">
        <v>15828.17</v>
      </c>
      <c r="E15" s="266">
        <v>4046</v>
      </c>
      <c r="F15" s="266">
        <v>9701.25</v>
      </c>
      <c r="G15" s="266">
        <v>5990.78</v>
      </c>
      <c r="H15" s="267">
        <v>19469</v>
      </c>
      <c r="I15" s="267">
        <v>16390.189999999999</v>
      </c>
      <c r="J15" s="267">
        <v>27647.93</v>
      </c>
      <c r="K15" s="266">
        <v>23409.29</v>
      </c>
      <c r="L15" s="266">
        <v>22874.69</v>
      </c>
      <c r="M15" s="266">
        <v>12045.69</v>
      </c>
      <c r="N15" s="266">
        <f t="shared" si="6"/>
        <v>165353.20000000001</v>
      </c>
      <c r="O15" s="266"/>
      <c r="P15" s="266">
        <f t="shared" si="7"/>
        <v>0</v>
      </c>
      <c r="Q15" s="266">
        <f t="shared" si="8"/>
        <v>165353.20000000001</v>
      </c>
      <c r="R15" s="268" t="e">
        <f t="shared" si="9"/>
        <v>#DIV/0!</v>
      </c>
    </row>
    <row r="16" spans="1:18" x14ac:dyDescent="0.25">
      <c r="A16" s="377" t="s">
        <v>149</v>
      </c>
      <c r="B16" s="269">
        <v>20979.15</v>
      </c>
      <c r="C16" s="269">
        <v>21903.13</v>
      </c>
      <c r="D16" s="269">
        <v>20431</v>
      </c>
      <c r="E16" s="269">
        <v>23788.58</v>
      </c>
      <c r="F16" s="269">
        <v>25056.89</v>
      </c>
      <c r="G16" s="269">
        <v>25362.55</v>
      </c>
      <c r="H16" s="270">
        <v>23520.05</v>
      </c>
      <c r="I16" s="267">
        <v>26844.26</v>
      </c>
      <c r="J16" s="267">
        <v>24321.34</v>
      </c>
      <c r="K16" s="269">
        <v>26359.51</v>
      </c>
      <c r="L16" s="269">
        <v>25401.71</v>
      </c>
      <c r="M16" s="269">
        <v>25765.21</v>
      </c>
      <c r="N16" s="269">
        <f t="shared" si="6"/>
        <v>289733.38</v>
      </c>
      <c r="O16" s="269"/>
      <c r="P16" s="266">
        <f t="shared" si="7"/>
        <v>0</v>
      </c>
      <c r="Q16" s="266">
        <f t="shared" si="8"/>
        <v>289733.38</v>
      </c>
      <c r="R16" s="268" t="e">
        <f t="shared" si="9"/>
        <v>#DIV/0!</v>
      </c>
    </row>
    <row r="17" spans="1:18" x14ac:dyDescent="0.25">
      <c r="A17" s="377" t="s">
        <v>150</v>
      </c>
      <c r="B17" s="269">
        <v>6481.56</v>
      </c>
      <c r="C17" s="269">
        <v>13268.02</v>
      </c>
      <c r="D17" s="269">
        <v>9991.4</v>
      </c>
      <c r="E17" s="269">
        <v>8738.2199999999993</v>
      </c>
      <c r="F17" s="269">
        <v>8017.66</v>
      </c>
      <c r="G17" s="269">
        <v>5459.15</v>
      </c>
      <c r="H17" s="270">
        <v>1458</v>
      </c>
      <c r="I17" s="267">
        <v>21400.95</v>
      </c>
      <c r="J17" s="267">
        <v>10245.58</v>
      </c>
      <c r="K17" s="269">
        <v>7402</v>
      </c>
      <c r="L17" s="269">
        <v>9810.76</v>
      </c>
      <c r="M17" s="269">
        <v>10685.61</v>
      </c>
      <c r="N17" s="269">
        <f t="shared" si="6"/>
        <v>112958.91</v>
      </c>
      <c r="O17" s="269"/>
      <c r="P17" s="266">
        <f t="shared" si="7"/>
        <v>0</v>
      </c>
      <c r="Q17" s="266">
        <f t="shared" si="8"/>
        <v>112958.91</v>
      </c>
      <c r="R17" s="268" t="e">
        <f t="shared" si="9"/>
        <v>#DIV/0!</v>
      </c>
    </row>
    <row r="18" spans="1:18" x14ac:dyDescent="0.25">
      <c r="A18" s="377" t="s">
        <v>151</v>
      </c>
      <c r="B18" s="269">
        <v>0</v>
      </c>
      <c r="C18" s="269">
        <v>0</v>
      </c>
      <c r="D18" s="269">
        <v>0</v>
      </c>
      <c r="E18" s="269">
        <v>0</v>
      </c>
      <c r="F18" s="269">
        <v>0</v>
      </c>
      <c r="G18" s="269">
        <v>0</v>
      </c>
      <c r="H18" s="270">
        <v>0</v>
      </c>
      <c r="I18" s="267">
        <v>0</v>
      </c>
      <c r="J18" s="267">
        <v>0</v>
      </c>
      <c r="K18" s="269">
        <v>0</v>
      </c>
      <c r="L18" s="269"/>
      <c r="M18" s="269"/>
      <c r="N18" s="269">
        <f t="shared" si="6"/>
        <v>0</v>
      </c>
      <c r="O18" s="269"/>
      <c r="P18" s="266">
        <f>+O18/12*$Q$23</f>
        <v>0</v>
      </c>
      <c r="Q18" s="266">
        <f t="shared" si="8"/>
        <v>0</v>
      </c>
      <c r="R18" s="268"/>
    </row>
    <row r="19" spans="1:18" x14ac:dyDescent="0.25">
      <c r="A19" s="378" t="s">
        <v>152</v>
      </c>
      <c r="B19" s="266"/>
      <c r="C19" s="266">
        <v>0</v>
      </c>
      <c r="D19" s="266">
        <v>0</v>
      </c>
      <c r="E19" s="266">
        <v>0</v>
      </c>
      <c r="F19" s="266"/>
      <c r="G19" s="266"/>
      <c r="H19" s="266"/>
      <c r="I19" s="267">
        <v>82992.2</v>
      </c>
      <c r="J19" s="267">
        <v>0</v>
      </c>
      <c r="K19" s="266">
        <v>0</v>
      </c>
      <c r="L19" s="266"/>
      <c r="M19" s="266"/>
      <c r="N19" s="266">
        <f t="shared" si="6"/>
        <v>82992.2</v>
      </c>
      <c r="O19" s="266"/>
      <c r="P19" s="266">
        <f t="shared" si="7"/>
        <v>0</v>
      </c>
      <c r="Q19" s="266">
        <f t="shared" si="8"/>
        <v>82992.2</v>
      </c>
      <c r="R19" s="272" t="e">
        <f>+Q19/P19</f>
        <v>#DIV/0!</v>
      </c>
    </row>
    <row r="20" spans="1:18" x14ac:dyDescent="0.25">
      <c r="A20" s="271"/>
      <c r="B20" s="266"/>
      <c r="C20" s="266"/>
      <c r="D20" s="266"/>
      <c r="E20" s="266"/>
      <c r="F20" s="266"/>
      <c r="G20" s="266"/>
      <c r="H20" s="267"/>
      <c r="I20" s="266"/>
      <c r="J20" s="266"/>
      <c r="K20" s="266"/>
      <c r="L20" s="266"/>
      <c r="M20" s="266"/>
      <c r="N20" s="266"/>
      <c r="O20" s="266"/>
      <c r="P20" s="266"/>
      <c r="Q20" s="266"/>
      <c r="R20" s="273">
        <f>COUNTA(B14:M14)</f>
        <v>12</v>
      </c>
    </row>
    <row r="21" spans="1:18" ht="15.75" x14ac:dyDescent="0.25">
      <c r="A21" s="274" t="s">
        <v>153</v>
      </c>
      <c r="B21" s="275">
        <f>+B22+B34+B35</f>
        <v>247470.43</v>
      </c>
      <c r="C21" s="275">
        <f t="shared" ref="C21:M21" si="10">+C22+C34+C35</f>
        <v>364579.87</v>
      </c>
      <c r="D21" s="275">
        <f t="shared" si="10"/>
        <v>479589.37</v>
      </c>
      <c r="E21" s="275">
        <f t="shared" si="10"/>
        <v>396131.91000000003</v>
      </c>
      <c r="F21" s="275">
        <f t="shared" si="10"/>
        <v>256844.58</v>
      </c>
      <c r="G21" s="275">
        <f t="shared" si="10"/>
        <v>434359.99</v>
      </c>
      <c r="H21" s="275">
        <f t="shared" si="10"/>
        <v>829551.93</v>
      </c>
      <c r="I21" s="275">
        <f t="shared" si="10"/>
        <v>425079.31000000006</v>
      </c>
      <c r="J21" s="275">
        <f t="shared" si="10"/>
        <v>308530.16000000003</v>
      </c>
      <c r="K21" s="275">
        <f t="shared" si="10"/>
        <v>374294.72000000003</v>
      </c>
      <c r="L21" s="275">
        <f t="shared" si="10"/>
        <v>369570.13</v>
      </c>
      <c r="M21" s="275">
        <f t="shared" si="10"/>
        <v>434998.67000000004</v>
      </c>
      <c r="N21" s="275">
        <f>SUM(B21:M21)</f>
        <v>4921001.0700000012</v>
      </c>
      <c r="O21" s="275">
        <f>+O22+O33+O34</f>
        <v>0</v>
      </c>
      <c r="P21" s="275">
        <f>+P22+P33+P34</f>
        <v>0</v>
      </c>
      <c r="Q21" s="275">
        <f>+N21-P21</f>
        <v>4921001.0700000012</v>
      </c>
      <c r="R21" s="276" t="e">
        <f t="shared" ref="R21:R27" si="11">+Q21/P21</f>
        <v>#DIV/0!</v>
      </c>
    </row>
    <row r="22" spans="1:18" x14ac:dyDescent="0.25">
      <c r="A22" s="262" t="s">
        <v>154</v>
      </c>
      <c r="B22" s="277">
        <f>+B23+B24+B25+B30</f>
        <v>247470.43</v>
      </c>
      <c r="C22" s="277">
        <f t="shared" ref="C22:M22" si="12">+C23+C24+C25+C30</f>
        <v>364579.87</v>
      </c>
      <c r="D22" s="277">
        <f t="shared" si="12"/>
        <v>479589.37</v>
      </c>
      <c r="E22" s="277">
        <f t="shared" si="12"/>
        <v>396131.91000000003</v>
      </c>
      <c r="F22" s="277">
        <f t="shared" si="12"/>
        <v>256844.58</v>
      </c>
      <c r="G22" s="277">
        <f t="shared" si="12"/>
        <v>434359.99</v>
      </c>
      <c r="H22" s="277">
        <f t="shared" si="12"/>
        <v>829551.93</v>
      </c>
      <c r="I22" s="277">
        <f t="shared" si="12"/>
        <v>425079.31000000006</v>
      </c>
      <c r="J22" s="277">
        <f t="shared" si="12"/>
        <v>308530.16000000003</v>
      </c>
      <c r="K22" s="277">
        <f t="shared" si="12"/>
        <v>374294.72000000003</v>
      </c>
      <c r="L22" s="277">
        <f t="shared" si="12"/>
        <v>369570.13</v>
      </c>
      <c r="M22" s="277">
        <f t="shared" si="12"/>
        <v>434998.67000000004</v>
      </c>
      <c r="N22" s="277">
        <f>+N23+N24+N25+N30</f>
        <v>3185546.84</v>
      </c>
      <c r="O22" s="277">
        <f>+O23+O24+O25+O30</f>
        <v>0</v>
      </c>
      <c r="P22" s="277">
        <f>+P23+P24+P25+P30</f>
        <v>0</v>
      </c>
      <c r="Q22" s="277">
        <f>+N22-P22</f>
        <v>3185546.84</v>
      </c>
      <c r="R22" s="264" t="e">
        <f t="shared" si="11"/>
        <v>#DIV/0!</v>
      </c>
    </row>
    <row r="23" spans="1:18" x14ac:dyDescent="0.25">
      <c r="A23" s="379" t="s">
        <v>155</v>
      </c>
      <c r="B23" s="266">
        <v>74263.02</v>
      </c>
      <c r="C23" s="266">
        <v>68933.38</v>
      </c>
      <c r="D23" s="266">
        <v>73900</v>
      </c>
      <c r="E23" s="266">
        <v>82853.62</v>
      </c>
      <c r="F23" s="266">
        <v>76162.12</v>
      </c>
      <c r="G23" s="266">
        <v>73781.53</v>
      </c>
      <c r="H23" s="267">
        <v>119829.43</v>
      </c>
      <c r="I23" s="267">
        <v>76765.34</v>
      </c>
      <c r="J23" s="267">
        <v>93795.54</v>
      </c>
      <c r="K23" s="266">
        <v>77149.58</v>
      </c>
      <c r="L23" s="266">
        <v>99402.18</v>
      </c>
      <c r="M23" s="266">
        <v>174933.12</v>
      </c>
      <c r="N23" s="266"/>
      <c r="O23" s="266"/>
      <c r="P23" s="266">
        <f>+O23/12*$R$20</f>
        <v>0</v>
      </c>
      <c r="Q23" s="266">
        <f>+N23-P23</f>
        <v>0</v>
      </c>
      <c r="R23" s="268" t="e">
        <f t="shared" si="11"/>
        <v>#DIV/0!</v>
      </c>
    </row>
    <row r="24" spans="1:18" x14ac:dyDescent="0.25">
      <c r="A24" s="377" t="s">
        <v>156</v>
      </c>
      <c r="B24" s="266">
        <v>29144.54</v>
      </c>
      <c r="C24" s="266">
        <v>25298.15</v>
      </c>
      <c r="D24" s="266">
        <v>74777.23</v>
      </c>
      <c r="E24" s="266">
        <v>31088.11</v>
      </c>
      <c r="F24" s="266">
        <v>24417.9</v>
      </c>
      <c r="G24" s="266">
        <v>26368.94</v>
      </c>
      <c r="H24" s="267">
        <v>57355.73</v>
      </c>
      <c r="I24" s="267">
        <v>81585.55</v>
      </c>
      <c r="J24" s="267">
        <v>44891.67</v>
      </c>
      <c r="K24" s="266">
        <v>66063.5</v>
      </c>
      <c r="L24" s="266">
        <v>32839.339999999997</v>
      </c>
      <c r="M24" s="266">
        <v>78309.710000000006</v>
      </c>
      <c r="N24" s="266"/>
      <c r="O24" s="266"/>
      <c r="P24" s="266">
        <f>+O24/12*$R$20</f>
        <v>0</v>
      </c>
      <c r="Q24" s="266">
        <f t="shared" ref="Q24:Q30" si="13">+N24-P24</f>
        <v>0</v>
      </c>
      <c r="R24" s="268" t="e">
        <f t="shared" si="11"/>
        <v>#DIV/0!</v>
      </c>
    </row>
    <row r="25" spans="1:18" x14ac:dyDescent="0.25">
      <c r="A25" s="278" t="s">
        <v>157</v>
      </c>
      <c r="B25" s="263">
        <f>+B26+B27+B28+B29</f>
        <v>144062.87</v>
      </c>
      <c r="C25" s="263">
        <f t="shared" ref="C25:M25" si="14">+C26+C27+C28+C29</f>
        <v>270348.33999999997</v>
      </c>
      <c r="D25" s="263">
        <f t="shared" si="14"/>
        <v>330912.14</v>
      </c>
      <c r="E25" s="263">
        <f t="shared" si="14"/>
        <v>282190.18000000005</v>
      </c>
      <c r="F25" s="263">
        <f t="shared" si="14"/>
        <v>156264.56</v>
      </c>
      <c r="G25" s="263">
        <f t="shared" si="14"/>
        <v>334209.52</v>
      </c>
      <c r="H25" s="263">
        <f t="shared" si="14"/>
        <v>652366.77</v>
      </c>
      <c r="I25" s="263">
        <f t="shared" si="14"/>
        <v>195183.42</v>
      </c>
      <c r="J25" s="263">
        <f t="shared" si="14"/>
        <v>169842.95</v>
      </c>
      <c r="K25" s="263">
        <f t="shared" si="14"/>
        <v>231081.64</v>
      </c>
      <c r="L25" s="263">
        <f t="shared" si="14"/>
        <v>237328.61</v>
      </c>
      <c r="M25" s="263">
        <f t="shared" si="14"/>
        <v>181755.84000000003</v>
      </c>
      <c r="N25" s="263">
        <f>+N26+N27+N29</f>
        <v>3185546.84</v>
      </c>
      <c r="O25" s="263">
        <f>+O26+O27+O29</f>
        <v>0</v>
      </c>
      <c r="P25" s="263">
        <f>+P26+P27+P29</f>
        <v>0</v>
      </c>
      <c r="Q25" s="263">
        <f t="shared" si="13"/>
        <v>3185546.84</v>
      </c>
      <c r="R25" s="264" t="e">
        <f t="shared" si="11"/>
        <v>#DIV/0!</v>
      </c>
    </row>
    <row r="26" spans="1:18" x14ac:dyDescent="0.25">
      <c r="A26" s="376" t="s">
        <v>158</v>
      </c>
      <c r="B26" s="266">
        <v>108832.66</v>
      </c>
      <c r="C26" s="266">
        <v>143016.37</v>
      </c>
      <c r="D26" s="266">
        <v>117212.06</v>
      </c>
      <c r="E26" s="266">
        <v>137452.45000000001</v>
      </c>
      <c r="F26" s="266">
        <v>123783.79</v>
      </c>
      <c r="G26" s="266">
        <v>193656.63</v>
      </c>
      <c r="H26" s="267">
        <v>606517.53</v>
      </c>
      <c r="I26" s="267">
        <v>153147.48000000001</v>
      </c>
      <c r="J26" s="267">
        <v>126446.16</v>
      </c>
      <c r="K26" s="266">
        <v>19663.79</v>
      </c>
      <c r="L26" s="266">
        <v>149536.07</v>
      </c>
      <c r="M26" s="266">
        <v>94853.49</v>
      </c>
      <c r="N26" s="266">
        <f t="shared" ref="N26:N29" si="15">SUM(B26:M26)</f>
        <v>1974118.48</v>
      </c>
      <c r="O26" s="266"/>
      <c r="P26" s="266">
        <f>+O26/12*$R$20</f>
        <v>0</v>
      </c>
      <c r="Q26" s="266">
        <f t="shared" si="13"/>
        <v>1974118.48</v>
      </c>
      <c r="R26" s="268"/>
    </row>
    <row r="27" spans="1:18" x14ac:dyDescent="0.25">
      <c r="A27" s="376" t="s">
        <v>159</v>
      </c>
      <c r="B27" s="266">
        <v>16508.96</v>
      </c>
      <c r="C27" s="266">
        <v>19852.16</v>
      </c>
      <c r="D27" s="266">
        <v>19233.57</v>
      </c>
      <c r="E27" s="266">
        <v>17834.48</v>
      </c>
      <c r="F27" s="266">
        <v>19566.64</v>
      </c>
      <c r="G27" s="266">
        <v>18371.73</v>
      </c>
      <c r="H27" s="267">
        <v>14911.16</v>
      </c>
      <c r="I27" s="267">
        <v>24477.01</v>
      </c>
      <c r="J27" s="267">
        <v>18716.009999999998</v>
      </c>
      <c r="K27" s="266">
        <v>17701.5</v>
      </c>
      <c r="L27" s="266">
        <v>19579.740000000002</v>
      </c>
      <c r="M27" s="266">
        <v>18471.580000000002</v>
      </c>
      <c r="N27" s="266">
        <f t="shared" si="15"/>
        <v>225224.53999999998</v>
      </c>
      <c r="O27" s="266"/>
      <c r="P27" s="266">
        <f>+O27/12*$R$20</f>
        <v>0</v>
      </c>
      <c r="Q27" s="266">
        <f t="shared" si="13"/>
        <v>225224.53999999998</v>
      </c>
      <c r="R27" s="268" t="e">
        <f t="shared" si="11"/>
        <v>#DIV/0!</v>
      </c>
    </row>
    <row r="28" spans="1:18" x14ac:dyDescent="0.25">
      <c r="A28" s="376" t="s">
        <v>294</v>
      </c>
      <c r="B28" s="266">
        <v>0</v>
      </c>
      <c r="C28" s="266">
        <v>0</v>
      </c>
      <c r="D28" s="266">
        <v>0</v>
      </c>
      <c r="E28" s="266">
        <v>0</v>
      </c>
      <c r="F28" s="266">
        <v>0</v>
      </c>
      <c r="G28" s="266">
        <v>0</v>
      </c>
      <c r="H28" s="267">
        <v>0</v>
      </c>
      <c r="I28" s="267">
        <v>0</v>
      </c>
      <c r="J28" s="267">
        <v>0</v>
      </c>
      <c r="K28" s="266"/>
      <c r="L28" s="266">
        <v>0</v>
      </c>
      <c r="M28" s="266">
        <v>0</v>
      </c>
      <c r="N28" s="266">
        <f t="shared" si="15"/>
        <v>0</v>
      </c>
      <c r="O28" s="266"/>
      <c r="P28" s="266"/>
      <c r="Q28" s="266"/>
      <c r="R28" s="268"/>
    </row>
    <row r="29" spans="1:18" x14ac:dyDescent="0.25">
      <c r="A29" s="376" t="s">
        <v>160</v>
      </c>
      <c r="B29" s="266">
        <v>18721.25</v>
      </c>
      <c r="C29" s="266">
        <v>107479.81</v>
      </c>
      <c r="D29" s="266">
        <v>194466.51</v>
      </c>
      <c r="E29" s="266">
        <v>126903.25</v>
      </c>
      <c r="F29" s="266">
        <v>12914.13</v>
      </c>
      <c r="G29" s="266">
        <v>122181.16</v>
      </c>
      <c r="H29" s="267">
        <v>30938.080000000002</v>
      </c>
      <c r="I29" s="267">
        <v>17558.93</v>
      </c>
      <c r="J29" s="267">
        <v>24680.78</v>
      </c>
      <c r="K29" s="266">
        <v>193716.35</v>
      </c>
      <c r="L29" s="266">
        <v>68212.800000000003</v>
      </c>
      <c r="M29" s="266">
        <v>68430.77</v>
      </c>
      <c r="N29" s="266">
        <f t="shared" si="15"/>
        <v>986203.82000000007</v>
      </c>
      <c r="O29" s="266"/>
      <c r="P29" s="266">
        <f>+O29/12*$R$20</f>
        <v>0</v>
      </c>
      <c r="Q29" s="266">
        <f t="shared" si="13"/>
        <v>986203.82000000007</v>
      </c>
      <c r="R29" s="268"/>
    </row>
    <row r="30" spans="1:18" x14ac:dyDescent="0.25">
      <c r="A30" s="377" t="s">
        <v>295</v>
      </c>
      <c r="B30" s="266"/>
      <c r="C30" s="266"/>
      <c r="D30" s="266"/>
      <c r="E30" s="266"/>
      <c r="F30" s="266"/>
      <c r="G30" s="266"/>
      <c r="H30" s="267"/>
      <c r="I30" s="267">
        <v>71545</v>
      </c>
      <c r="J30" s="267">
        <v>0</v>
      </c>
      <c r="K30" s="266"/>
      <c r="L30" s="266"/>
      <c r="M30" s="266"/>
      <c r="N30" s="266">
        <v>0</v>
      </c>
      <c r="O30" s="266"/>
      <c r="P30" s="266">
        <f>+O30/12*$R$20</f>
        <v>0</v>
      </c>
      <c r="Q30" s="266">
        <f t="shared" si="13"/>
        <v>0</v>
      </c>
      <c r="R30" s="279">
        <v>4.7587328311763356E-2</v>
      </c>
    </row>
    <row r="31" spans="1:18" x14ac:dyDescent="0.25">
      <c r="A31" s="400" t="s">
        <v>322</v>
      </c>
      <c r="B31" s="400"/>
      <c r="C31" s="400"/>
      <c r="D31" s="266"/>
      <c r="E31" s="266"/>
      <c r="F31" s="266"/>
      <c r="G31" s="266"/>
      <c r="H31" s="267"/>
      <c r="I31" s="266"/>
      <c r="J31" s="266"/>
      <c r="K31" s="266"/>
      <c r="L31" s="266"/>
      <c r="M31" s="266"/>
      <c r="N31" s="266"/>
      <c r="O31" s="266"/>
      <c r="P31" s="266"/>
      <c r="Q31" s="266"/>
      <c r="R31" s="268"/>
    </row>
    <row r="32" spans="1:18" x14ac:dyDescent="0.25">
      <c r="A32" s="280" t="s">
        <v>161</v>
      </c>
      <c r="B32" s="277">
        <f>+B11-B22</f>
        <v>96745.5</v>
      </c>
      <c r="C32" s="277">
        <f>+C11-C22</f>
        <v>54228.429999999935</v>
      </c>
      <c r="D32" s="277">
        <f t="shared" ref="D32:M32" si="16">+D11-D22</f>
        <v>-72726.97000000003</v>
      </c>
      <c r="E32" s="277">
        <f t="shared" si="16"/>
        <v>-30456.059999999998</v>
      </c>
      <c r="F32" s="277">
        <f t="shared" si="16"/>
        <v>273440.11</v>
      </c>
      <c r="G32" s="277">
        <f t="shared" si="16"/>
        <v>35883.260000000009</v>
      </c>
      <c r="H32" s="277">
        <f t="shared" si="16"/>
        <v>-490887.48000000004</v>
      </c>
      <c r="I32" s="277">
        <f t="shared" si="16"/>
        <v>179008.35999999987</v>
      </c>
      <c r="J32" s="277">
        <f t="shared" si="16"/>
        <v>206302.63000000006</v>
      </c>
      <c r="K32" s="277">
        <f t="shared" si="16"/>
        <v>54071.619999999937</v>
      </c>
      <c r="L32" s="277">
        <f t="shared" si="16"/>
        <v>282014.02</v>
      </c>
      <c r="M32" s="277">
        <f t="shared" si="16"/>
        <v>109547.52999999991</v>
      </c>
      <c r="N32" s="277">
        <f>+N11-N22</f>
        <v>2349632.9800000004</v>
      </c>
      <c r="O32" s="277">
        <f>+O11-O22</f>
        <v>0</v>
      </c>
      <c r="P32" s="277">
        <f>+P11-P22</f>
        <v>0</v>
      </c>
      <c r="Q32" s="277">
        <f>+N32-P32</f>
        <v>2349632.9800000004</v>
      </c>
      <c r="R32" s="268" t="e">
        <f>+Q32/P32</f>
        <v>#DIV/0!</v>
      </c>
    </row>
    <row r="33" spans="1:18" x14ac:dyDescent="0.25">
      <c r="A33" s="378" t="s">
        <v>162</v>
      </c>
      <c r="B33" s="266">
        <v>0</v>
      </c>
      <c r="C33" s="266"/>
      <c r="D33" s="266"/>
      <c r="E33" s="266"/>
      <c r="F33" s="266"/>
      <c r="G33" s="266"/>
      <c r="H33" s="267"/>
      <c r="I33" s="266"/>
      <c r="J33" s="266"/>
      <c r="K33" s="266"/>
      <c r="L33" s="266"/>
      <c r="M33" s="266"/>
      <c r="N33" s="266">
        <f t="shared" ref="N33" si="17">SUM(B33:M33)</f>
        <v>0</v>
      </c>
      <c r="O33" s="266"/>
      <c r="P33" s="266">
        <f t="shared" ref="P33:P34" si="18">+O33/12*$R$20</f>
        <v>0</v>
      </c>
      <c r="Q33" s="266">
        <f>+N33-P33</f>
        <v>0</v>
      </c>
      <c r="R33" s="268" t="e">
        <f t="shared" si="9"/>
        <v>#DIV/0!</v>
      </c>
    </row>
    <row r="34" spans="1:18" x14ac:dyDescent="0.25">
      <c r="A34" s="281" t="s">
        <v>163</v>
      </c>
      <c r="B34" s="263">
        <f>B35+B36+B37</f>
        <v>0</v>
      </c>
      <c r="C34" s="263">
        <f t="shared" ref="C34:M34" si="19">+C35+C36+C37</f>
        <v>0</v>
      </c>
      <c r="D34" s="263">
        <f t="shared" si="19"/>
        <v>0</v>
      </c>
      <c r="E34" s="263">
        <f t="shared" si="19"/>
        <v>0</v>
      </c>
      <c r="F34" s="263">
        <f t="shared" si="19"/>
        <v>0</v>
      </c>
      <c r="G34" s="263">
        <f t="shared" si="19"/>
        <v>0</v>
      </c>
      <c r="H34" s="263">
        <f t="shared" si="19"/>
        <v>0</v>
      </c>
      <c r="I34" s="263">
        <f t="shared" si="19"/>
        <v>0</v>
      </c>
      <c r="J34" s="263">
        <f t="shared" si="19"/>
        <v>0</v>
      </c>
      <c r="K34" s="263">
        <f t="shared" si="19"/>
        <v>0</v>
      </c>
      <c r="L34" s="263">
        <f t="shared" si="19"/>
        <v>0</v>
      </c>
      <c r="M34" s="263">
        <f t="shared" si="19"/>
        <v>0</v>
      </c>
      <c r="N34" s="263">
        <f t="shared" ref="N34" si="20">+N35+N36+N37</f>
        <v>0</v>
      </c>
      <c r="O34" s="263"/>
      <c r="P34" s="263">
        <f t="shared" si="18"/>
        <v>0</v>
      </c>
      <c r="Q34" s="263">
        <f>+N34-P34</f>
        <v>0</v>
      </c>
      <c r="R34" s="264" t="e">
        <f t="shared" si="9"/>
        <v>#DIV/0!</v>
      </c>
    </row>
    <row r="35" spans="1:18" x14ac:dyDescent="0.25">
      <c r="A35" s="376" t="s">
        <v>164</v>
      </c>
      <c r="B35" s="266">
        <v>0</v>
      </c>
      <c r="C35" s="266"/>
      <c r="D35" s="266">
        <v>0</v>
      </c>
      <c r="E35" s="266">
        <v>0</v>
      </c>
      <c r="F35" s="266">
        <v>0</v>
      </c>
      <c r="G35" s="266"/>
      <c r="H35" s="267">
        <v>0</v>
      </c>
      <c r="I35" s="266">
        <v>0</v>
      </c>
      <c r="J35" s="266">
        <v>0</v>
      </c>
      <c r="K35" s="266"/>
      <c r="L35" s="266">
        <v>0</v>
      </c>
      <c r="M35" s="266">
        <v>0</v>
      </c>
      <c r="N35" s="266">
        <f t="shared" ref="N35:N37" si="21">SUM(B35:M35)</f>
        <v>0</v>
      </c>
      <c r="O35" s="266"/>
      <c r="P35" s="266"/>
      <c r="Q35" s="266"/>
      <c r="R35" s="268"/>
    </row>
    <row r="36" spans="1:18" x14ac:dyDescent="0.25">
      <c r="A36" s="376" t="s">
        <v>165</v>
      </c>
      <c r="B36" s="266"/>
      <c r="C36" s="266">
        <v>0</v>
      </c>
      <c r="D36" s="266">
        <v>0</v>
      </c>
      <c r="E36" s="266">
        <v>0</v>
      </c>
      <c r="F36" s="266"/>
      <c r="G36" s="266"/>
      <c r="H36" s="267">
        <v>0</v>
      </c>
      <c r="I36" s="266">
        <v>0</v>
      </c>
      <c r="J36" s="266">
        <v>0</v>
      </c>
      <c r="K36" s="266"/>
      <c r="L36" s="266">
        <v>0</v>
      </c>
      <c r="M36" s="266">
        <v>0</v>
      </c>
      <c r="N36" s="266">
        <f t="shared" si="21"/>
        <v>0</v>
      </c>
      <c r="O36" s="266"/>
      <c r="P36" s="266"/>
      <c r="Q36" s="266"/>
      <c r="R36" s="268"/>
    </row>
    <row r="37" spans="1:18" x14ac:dyDescent="0.25">
      <c r="A37" s="376" t="s">
        <v>166</v>
      </c>
      <c r="B37" s="266">
        <v>0</v>
      </c>
      <c r="C37" s="266">
        <v>0</v>
      </c>
      <c r="D37" s="266">
        <v>0</v>
      </c>
      <c r="E37" s="266">
        <v>0</v>
      </c>
      <c r="F37" s="266"/>
      <c r="G37" s="266"/>
      <c r="H37" s="267">
        <v>0</v>
      </c>
      <c r="I37" s="267">
        <v>0</v>
      </c>
      <c r="J37" s="267">
        <v>0</v>
      </c>
      <c r="K37" s="266"/>
      <c r="L37" s="266">
        <v>0</v>
      </c>
      <c r="M37" s="266">
        <v>0</v>
      </c>
      <c r="N37" s="266">
        <f t="shared" si="21"/>
        <v>0</v>
      </c>
      <c r="O37" s="266"/>
      <c r="P37" s="266"/>
      <c r="Q37" s="266"/>
      <c r="R37" s="268"/>
    </row>
    <row r="38" spans="1:18" x14ac:dyDescent="0.25">
      <c r="A38" s="282" t="s">
        <v>167</v>
      </c>
      <c r="B38" s="283">
        <f t="shared" ref="B38:M38" si="22">+B32-B33-B34</f>
        <v>96745.5</v>
      </c>
      <c r="C38" s="283">
        <f t="shared" si="22"/>
        <v>54228.429999999935</v>
      </c>
      <c r="D38" s="283">
        <f t="shared" si="22"/>
        <v>-72726.97000000003</v>
      </c>
      <c r="E38" s="283">
        <f t="shared" si="22"/>
        <v>-30456.059999999998</v>
      </c>
      <c r="F38" s="283">
        <f t="shared" si="22"/>
        <v>273440.11</v>
      </c>
      <c r="G38" s="283">
        <f t="shared" si="22"/>
        <v>35883.260000000009</v>
      </c>
      <c r="H38" s="283">
        <f t="shared" si="22"/>
        <v>-490887.48000000004</v>
      </c>
      <c r="I38" s="283">
        <f t="shared" si="22"/>
        <v>179008.35999999987</v>
      </c>
      <c r="J38" s="283">
        <f t="shared" si="22"/>
        <v>206302.63000000006</v>
      </c>
      <c r="K38" s="283">
        <f t="shared" si="22"/>
        <v>54071.619999999937</v>
      </c>
      <c r="L38" s="283">
        <f t="shared" si="22"/>
        <v>282014.02</v>
      </c>
      <c r="M38" s="283">
        <f t="shared" si="22"/>
        <v>109547.52999999991</v>
      </c>
      <c r="N38" s="283">
        <f>+N32-N33-N34</f>
        <v>2349632.9800000004</v>
      </c>
      <c r="O38" s="283">
        <f t="shared" ref="O38:P38" si="23">+O32-O33-O34</f>
        <v>0</v>
      </c>
      <c r="P38" s="283">
        <f t="shared" si="23"/>
        <v>0</v>
      </c>
      <c r="Q38" s="283">
        <f t="shared" ref="Q38" si="24">+N38-P38</f>
        <v>2349632.9800000004</v>
      </c>
      <c r="R38" s="279">
        <v>0</v>
      </c>
    </row>
    <row r="39" spans="1:18" x14ac:dyDescent="0.25">
      <c r="A39" s="378" t="s">
        <v>168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>
        <f t="shared" ref="N39:Q39" si="25">SUM(B39:M39)</f>
        <v>0</v>
      </c>
      <c r="O39" s="266">
        <f t="shared" si="25"/>
        <v>0</v>
      </c>
      <c r="P39" s="266">
        <f t="shared" si="25"/>
        <v>0</v>
      </c>
      <c r="Q39" s="266">
        <f t="shared" si="25"/>
        <v>0</v>
      </c>
      <c r="R39" s="268">
        <v>0</v>
      </c>
    </row>
    <row r="40" spans="1:18" x14ac:dyDescent="0.25">
      <c r="A40" s="284" t="s">
        <v>169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8"/>
    </row>
    <row r="41" spans="1:18" x14ac:dyDescent="0.25">
      <c r="A41" s="271" t="s">
        <v>170</v>
      </c>
      <c r="B41" s="267">
        <f>SUM(B42:B44)</f>
        <v>344656.75</v>
      </c>
      <c r="C41" s="267">
        <f t="shared" ref="C41:M41" si="26">SUM(C42:C44)</f>
        <v>487730.5</v>
      </c>
      <c r="D41" s="267">
        <f t="shared" si="26"/>
        <v>429669.13</v>
      </c>
      <c r="E41" s="267">
        <f t="shared" si="26"/>
        <v>412069.45999999996</v>
      </c>
      <c r="F41" s="267">
        <f t="shared" si="26"/>
        <v>636493.49</v>
      </c>
      <c r="G41" s="267">
        <f t="shared" si="26"/>
        <v>549922.51</v>
      </c>
      <c r="H41" s="267">
        <f t="shared" si="26"/>
        <v>530620.73</v>
      </c>
      <c r="I41" s="267">
        <f t="shared" si="26"/>
        <v>624880.30000000005</v>
      </c>
      <c r="J41" s="267">
        <f t="shared" si="26"/>
        <v>773097.57</v>
      </c>
      <c r="K41" s="267">
        <f t="shared" si="26"/>
        <v>623223.29</v>
      </c>
      <c r="L41" s="267">
        <f t="shared" si="26"/>
        <v>762321.55</v>
      </c>
      <c r="M41" s="267">
        <f t="shared" si="26"/>
        <v>683537.27</v>
      </c>
      <c r="N41" s="266">
        <f t="shared" ref="N41:N48" si="27">SUM(B41:M41)</f>
        <v>6858222.5500000007</v>
      </c>
      <c r="O41" s="267"/>
      <c r="P41" s="266"/>
      <c r="Q41" s="266"/>
      <c r="R41" s="268"/>
    </row>
    <row r="42" spans="1:18" x14ac:dyDescent="0.25">
      <c r="A42" s="376" t="s">
        <v>171</v>
      </c>
      <c r="B42" s="266">
        <v>330987.75</v>
      </c>
      <c r="C42" s="266">
        <v>461793.9</v>
      </c>
      <c r="D42" s="266">
        <v>358062.71</v>
      </c>
      <c r="E42" s="266">
        <v>324844.23</v>
      </c>
      <c r="F42" s="266">
        <v>513649.45</v>
      </c>
      <c r="G42" s="266">
        <v>422112.86</v>
      </c>
      <c r="H42" s="267">
        <v>386164.47</v>
      </c>
      <c r="I42" s="267">
        <v>471277.43</v>
      </c>
      <c r="J42" s="267">
        <v>600068.09</v>
      </c>
      <c r="K42" s="266">
        <v>431797.2</v>
      </c>
      <c r="L42" s="266">
        <v>583748.85</v>
      </c>
      <c r="M42" s="266">
        <v>678917.86</v>
      </c>
      <c r="N42" s="266">
        <f t="shared" si="27"/>
        <v>5563424.7999999998</v>
      </c>
      <c r="O42" s="266"/>
      <c r="P42" s="266"/>
      <c r="Q42" s="266"/>
      <c r="R42" s="268"/>
    </row>
    <row r="43" spans="1:18" x14ac:dyDescent="0.25">
      <c r="A43" s="376" t="s">
        <v>172</v>
      </c>
      <c r="B43" s="266">
        <v>13669</v>
      </c>
      <c r="C43" s="266">
        <v>25936.6</v>
      </c>
      <c r="D43" s="266">
        <v>71606.42</v>
      </c>
      <c r="E43" s="266">
        <v>87225.23</v>
      </c>
      <c r="F43" s="266">
        <v>122844.04</v>
      </c>
      <c r="G43" s="266">
        <v>127809.65</v>
      </c>
      <c r="H43" s="267">
        <v>144456.26</v>
      </c>
      <c r="I43" s="267">
        <v>153602.87</v>
      </c>
      <c r="J43" s="267">
        <v>173029.48</v>
      </c>
      <c r="K43" s="266">
        <v>191426.09</v>
      </c>
      <c r="L43" s="266">
        <v>178572.7</v>
      </c>
      <c r="M43" s="266">
        <v>4619.41</v>
      </c>
      <c r="N43" s="266">
        <f t="shared" si="27"/>
        <v>1294797.7499999998</v>
      </c>
      <c r="O43" s="266"/>
      <c r="P43" s="266"/>
      <c r="Q43" s="266"/>
      <c r="R43" s="268"/>
    </row>
    <row r="44" spans="1:18" x14ac:dyDescent="0.25">
      <c r="A44" s="376" t="s">
        <v>173</v>
      </c>
      <c r="B44" s="266">
        <v>0</v>
      </c>
      <c r="C44" s="266">
        <v>0</v>
      </c>
      <c r="D44" s="266">
        <v>0</v>
      </c>
      <c r="E44" s="266">
        <v>0</v>
      </c>
      <c r="F44" s="266">
        <v>0</v>
      </c>
      <c r="G44" s="266">
        <v>0</v>
      </c>
      <c r="H44" s="267">
        <v>0</v>
      </c>
      <c r="I44" s="267">
        <v>0</v>
      </c>
      <c r="J44" s="267">
        <v>0</v>
      </c>
      <c r="K44" s="266">
        <v>0</v>
      </c>
      <c r="L44" s="266"/>
      <c r="M44" s="266"/>
      <c r="N44" s="266">
        <f t="shared" si="27"/>
        <v>0</v>
      </c>
      <c r="O44" s="266"/>
      <c r="P44" s="266"/>
      <c r="Q44" s="266"/>
      <c r="R44" s="268"/>
    </row>
    <row r="45" spans="1:18" x14ac:dyDescent="0.25">
      <c r="A45" s="378" t="s">
        <v>174</v>
      </c>
      <c r="B45" s="266">
        <v>1242462.7</v>
      </c>
      <c r="C45" s="266">
        <v>1403412.29</v>
      </c>
      <c r="D45" s="266">
        <v>1496554.85</v>
      </c>
      <c r="E45" s="266">
        <v>1545503.01</v>
      </c>
      <c r="F45" s="266">
        <v>1636394.34</v>
      </c>
      <c r="G45" s="266">
        <v>1584634.27</v>
      </c>
      <c r="H45" s="267">
        <v>1649631.77</v>
      </c>
      <c r="I45" s="267">
        <v>1780089.6</v>
      </c>
      <c r="J45" s="267">
        <v>1938849.86</v>
      </c>
      <c r="K45" s="266">
        <v>1914123.22</v>
      </c>
      <c r="L45" s="266">
        <v>1958727.23</v>
      </c>
      <c r="M45" s="266">
        <v>1861217.63</v>
      </c>
      <c r="N45" s="266">
        <f t="shared" si="27"/>
        <v>20011600.77</v>
      </c>
      <c r="O45" s="266"/>
      <c r="P45" s="266"/>
      <c r="Q45" s="266"/>
      <c r="R45" s="268"/>
    </row>
    <row r="46" spans="1:18" x14ac:dyDescent="0.25">
      <c r="A46" s="378" t="s">
        <v>175</v>
      </c>
      <c r="B46" s="266">
        <v>5499600.4400000004</v>
      </c>
      <c r="C46" s="266">
        <v>5660550.0300000003</v>
      </c>
      <c r="D46" s="266">
        <v>5753692.5899999999</v>
      </c>
      <c r="E46" s="266">
        <v>5802640.75</v>
      </c>
      <c r="F46" s="266">
        <v>6094975.7800000003</v>
      </c>
      <c r="G46" s="266">
        <v>6043215.71</v>
      </c>
      <c r="H46" s="267">
        <v>6108213.21</v>
      </c>
      <c r="I46" s="267">
        <v>6238671.04</v>
      </c>
      <c r="J46" s="267">
        <v>6397431.2999999998</v>
      </c>
      <c r="K46" s="266">
        <v>6392493.6600000001</v>
      </c>
      <c r="L46" s="266">
        <v>6628486.9800000004</v>
      </c>
      <c r="M46" s="266">
        <v>6568036.3399999999</v>
      </c>
      <c r="N46" s="266">
        <f t="shared" si="27"/>
        <v>73188007.830000013</v>
      </c>
      <c r="O46" s="266"/>
      <c r="P46" s="266"/>
      <c r="Q46" s="266"/>
      <c r="R46" s="268"/>
    </row>
    <row r="47" spans="1:18" x14ac:dyDescent="0.25">
      <c r="A47" s="378" t="s">
        <v>176</v>
      </c>
      <c r="B47" s="266">
        <v>386733.39</v>
      </c>
      <c r="C47" s="266">
        <v>399223.02</v>
      </c>
      <c r="D47" s="266">
        <v>416415.32</v>
      </c>
      <c r="E47" s="266">
        <v>381877.81</v>
      </c>
      <c r="F47" s="266">
        <v>400772.73</v>
      </c>
      <c r="G47" s="266">
        <v>420629.4</v>
      </c>
      <c r="H47" s="267">
        <v>698719.41</v>
      </c>
      <c r="I47" s="267">
        <v>650311.66</v>
      </c>
      <c r="J47" s="267">
        <v>602626.23</v>
      </c>
      <c r="K47" s="266">
        <v>543616.82999999996</v>
      </c>
      <c r="L47" s="266">
        <v>497585.71</v>
      </c>
      <c r="M47" s="266">
        <v>493655.37</v>
      </c>
      <c r="N47" s="266">
        <f t="shared" si="27"/>
        <v>5892166.8800000008</v>
      </c>
      <c r="O47" s="266"/>
      <c r="P47" s="266"/>
      <c r="Q47" s="266"/>
      <c r="R47" s="268"/>
    </row>
    <row r="48" spans="1:18" x14ac:dyDescent="0.25">
      <c r="A48" s="378" t="s">
        <v>177</v>
      </c>
      <c r="B48" s="266">
        <v>386733.39</v>
      </c>
      <c r="C48" s="266">
        <v>399223.02</v>
      </c>
      <c r="D48" s="266">
        <v>416415.32</v>
      </c>
      <c r="E48" s="266">
        <v>381877.81</v>
      </c>
      <c r="F48" s="266">
        <v>400772.73</v>
      </c>
      <c r="G48" s="266">
        <v>420629.4</v>
      </c>
      <c r="H48" s="267">
        <v>698719.41</v>
      </c>
      <c r="I48" s="267">
        <v>650311.66</v>
      </c>
      <c r="J48" s="267">
        <v>602626.23</v>
      </c>
      <c r="K48" s="266">
        <v>543616.82999999996</v>
      </c>
      <c r="L48" s="266">
        <v>497585.71</v>
      </c>
      <c r="M48" s="266">
        <v>493655.37</v>
      </c>
      <c r="N48" s="266">
        <f t="shared" si="27"/>
        <v>5892166.8800000008</v>
      </c>
      <c r="O48" s="266"/>
      <c r="P48" s="266"/>
      <c r="Q48" s="266"/>
      <c r="R48" s="268"/>
    </row>
    <row r="49" spans="1:18" x14ac:dyDescent="0.25">
      <c r="A49" s="378" t="s">
        <v>178</v>
      </c>
      <c r="B49" s="266">
        <v>0</v>
      </c>
      <c r="C49" s="266">
        <v>0</v>
      </c>
      <c r="D49" s="266">
        <v>0</v>
      </c>
      <c r="E49" s="266"/>
      <c r="F49" s="266"/>
      <c r="G49" s="266"/>
      <c r="H49" s="267"/>
      <c r="I49" s="267"/>
      <c r="J49" s="267"/>
      <c r="K49" s="266"/>
      <c r="L49" s="266"/>
      <c r="M49" s="266"/>
      <c r="N49" s="266"/>
      <c r="O49" s="266"/>
      <c r="P49" s="266"/>
      <c r="Q49" s="266"/>
      <c r="R49" s="268"/>
    </row>
    <row r="50" spans="1:18" x14ac:dyDescent="0.25">
      <c r="A50" s="285"/>
      <c r="B50" s="286"/>
      <c r="C50" s="286"/>
      <c r="D50" s="286"/>
      <c r="E50" s="286"/>
      <c r="F50" s="286"/>
      <c r="G50" s="286"/>
      <c r="H50" s="286"/>
      <c r="I50" s="286"/>
      <c r="J50" s="286"/>
      <c r="K50" s="266"/>
      <c r="L50" s="286"/>
      <c r="M50" s="286"/>
      <c r="N50" s="286"/>
      <c r="O50" s="286"/>
      <c r="P50" s="286"/>
      <c r="Q50" s="286"/>
      <c r="R50" s="268"/>
    </row>
    <row r="51" spans="1:18" ht="15.75" x14ac:dyDescent="0.25">
      <c r="A51" s="287" t="s">
        <v>179</v>
      </c>
      <c r="B51" s="288">
        <f>+B52+B53+B54</f>
        <v>60137</v>
      </c>
      <c r="C51" s="288">
        <f>+C52+C53+C54</f>
        <v>61886</v>
      </c>
      <c r="D51" s="288">
        <f>SUM(D52:D54)</f>
        <v>52755</v>
      </c>
      <c r="E51" s="288">
        <f t="shared" ref="E51" si="28">SUM(E52:E54)</f>
        <v>66482</v>
      </c>
      <c r="F51" s="288">
        <f>SUM(F52:F54)</f>
        <v>80299</v>
      </c>
      <c r="G51" s="288">
        <f>SUM(G52:G54)</f>
        <v>67939</v>
      </c>
      <c r="H51" s="288">
        <f t="shared" ref="H51" si="29">SUM(H52:H55)</f>
        <v>58947</v>
      </c>
      <c r="I51" s="288">
        <f t="shared" ref="I51:M51" si="30">+I52+I53+I54</f>
        <v>66555</v>
      </c>
      <c r="J51" s="288">
        <f t="shared" si="30"/>
        <v>7863</v>
      </c>
      <c r="K51" s="288">
        <f t="shared" si="30"/>
        <v>58789</v>
      </c>
      <c r="L51" s="288">
        <f t="shared" si="30"/>
        <v>31815</v>
      </c>
      <c r="M51" s="288">
        <f t="shared" si="30"/>
        <v>27891</v>
      </c>
      <c r="N51" s="288">
        <f t="shared" ref="N51" si="31">SUM(N52:N54)</f>
        <v>641358</v>
      </c>
      <c r="O51" s="288"/>
      <c r="P51" s="288"/>
      <c r="Q51" s="288"/>
      <c r="R51" s="288"/>
    </row>
    <row r="52" spans="1:18" x14ac:dyDescent="0.25">
      <c r="A52" s="378" t="s">
        <v>180</v>
      </c>
      <c r="B52" s="289">
        <v>60137</v>
      </c>
      <c r="C52" s="289">
        <v>61886</v>
      </c>
      <c r="D52" s="289">
        <v>52755</v>
      </c>
      <c r="E52" s="289">
        <v>66482</v>
      </c>
      <c r="F52" s="289">
        <f>341+75749+4209</f>
        <v>80299</v>
      </c>
      <c r="G52" s="289">
        <f>55100+309+607+5086+6837</f>
        <v>67939</v>
      </c>
      <c r="H52" s="290">
        <v>58947</v>
      </c>
      <c r="I52" s="290">
        <v>66555</v>
      </c>
      <c r="J52" s="290">
        <f>2289+5574</f>
        <v>7863</v>
      </c>
      <c r="K52" s="266">
        <f>53344+24+142+5279</f>
        <v>58789</v>
      </c>
      <c r="L52" s="289">
        <f>27721+4094</f>
        <v>31815</v>
      </c>
      <c r="M52" s="289">
        <f>27721+170</f>
        <v>27891</v>
      </c>
      <c r="N52" s="266">
        <f t="shared" ref="N52" si="32">SUM(B52:M52)</f>
        <v>641358</v>
      </c>
      <c r="O52" s="289"/>
      <c r="P52" s="289"/>
      <c r="Q52" s="289"/>
      <c r="R52" s="289"/>
    </row>
    <row r="53" spans="1:18" ht="15" customHeight="1" x14ac:dyDescent="0.25">
      <c r="A53" s="378" t="s">
        <v>181</v>
      </c>
      <c r="B53" s="289"/>
      <c r="C53" s="289"/>
      <c r="D53" s="289"/>
      <c r="E53" s="289"/>
      <c r="F53" s="289"/>
      <c r="G53" s="289"/>
      <c r="H53" s="290"/>
      <c r="I53" s="290"/>
      <c r="J53" s="290"/>
      <c r="K53" s="266"/>
      <c r="L53" s="289"/>
      <c r="M53" s="289"/>
      <c r="N53" s="289"/>
      <c r="O53" s="289"/>
      <c r="P53" s="289"/>
      <c r="Q53" s="289"/>
      <c r="R53" s="289"/>
    </row>
    <row r="54" spans="1:18" ht="15" customHeight="1" x14ac:dyDescent="0.25">
      <c r="A54" s="378" t="s">
        <v>182</v>
      </c>
      <c r="B54" s="289">
        <v>0</v>
      </c>
      <c r="C54" s="289">
        <v>0</v>
      </c>
      <c r="D54" s="289"/>
      <c r="E54" s="289"/>
      <c r="F54" s="289"/>
      <c r="G54" s="289"/>
      <c r="H54" s="290"/>
      <c r="I54" s="290"/>
      <c r="J54" s="290"/>
      <c r="K54" s="266"/>
      <c r="L54" s="289"/>
      <c r="M54" s="289"/>
      <c r="N54" s="289"/>
      <c r="O54" s="289"/>
      <c r="P54" s="289"/>
      <c r="Q54" s="289"/>
      <c r="R54" s="289"/>
    </row>
    <row r="55" spans="1:18" ht="15" customHeight="1" x14ac:dyDescent="0.25">
      <c r="A55" s="271"/>
      <c r="B55" s="289"/>
      <c r="C55" s="289"/>
      <c r="D55" s="289"/>
      <c r="E55" s="289"/>
      <c r="F55" s="289"/>
      <c r="G55" s="289"/>
      <c r="H55" s="290"/>
      <c r="I55" s="290"/>
      <c r="J55" s="290"/>
      <c r="K55" s="266"/>
      <c r="L55" s="289"/>
      <c r="M55" s="289"/>
      <c r="N55" s="289"/>
      <c r="O55" s="289"/>
      <c r="P55" s="289"/>
      <c r="Q55" s="289"/>
      <c r="R55" s="289"/>
    </row>
    <row r="56" spans="1:18" ht="15.75" x14ac:dyDescent="0.25">
      <c r="A56" s="291" t="s">
        <v>183</v>
      </c>
      <c r="B56" s="288">
        <f>+B57+B58+B59</f>
        <v>108832.66</v>
      </c>
      <c r="C56" s="288">
        <f>+C57+C58+C59</f>
        <v>143016.37</v>
      </c>
      <c r="D56" s="288">
        <f>+D57+D58+D59</f>
        <v>117212.06</v>
      </c>
      <c r="E56" s="288">
        <f>+E57+E58+E59</f>
        <v>137452.45000000001</v>
      </c>
      <c r="F56" s="288">
        <f t="shared" ref="F56:M56" si="33">+F57+F58+F59</f>
        <v>123783.79</v>
      </c>
      <c r="G56" s="288">
        <f t="shared" si="33"/>
        <v>193656.63</v>
      </c>
      <c r="H56" s="288">
        <f t="shared" si="33"/>
        <v>606517.53</v>
      </c>
      <c r="I56" s="288">
        <f t="shared" si="33"/>
        <v>153147.48000000001</v>
      </c>
      <c r="J56" s="288">
        <f t="shared" si="33"/>
        <v>126446.16</v>
      </c>
      <c r="K56" s="288">
        <f t="shared" si="33"/>
        <v>19663.79</v>
      </c>
      <c r="L56" s="288">
        <f t="shared" si="33"/>
        <v>149536.07</v>
      </c>
      <c r="M56" s="288">
        <f t="shared" si="33"/>
        <v>94853.49</v>
      </c>
      <c r="N56" s="288"/>
      <c r="O56" s="288"/>
      <c r="P56" s="288"/>
      <c r="Q56" s="288"/>
      <c r="R56" s="288"/>
    </row>
    <row r="57" spans="1:18" x14ac:dyDescent="0.25">
      <c r="A57" s="378" t="s">
        <v>180</v>
      </c>
      <c r="B57" s="289">
        <f>+B26</f>
        <v>108832.66</v>
      </c>
      <c r="C57" s="289">
        <f t="shared" ref="C57:M57" si="34">+C26</f>
        <v>143016.37</v>
      </c>
      <c r="D57" s="289">
        <f t="shared" si="34"/>
        <v>117212.06</v>
      </c>
      <c r="E57" s="289">
        <f t="shared" si="34"/>
        <v>137452.45000000001</v>
      </c>
      <c r="F57" s="289">
        <f t="shared" si="34"/>
        <v>123783.79</v>
      </c>
      <c r="G57" s="289">
        <f t="shared" si="34"/>
        <v>193656.63</v>
      </c>
      <c r="H57" s="289">
        <f t="shared" si="34"/>
        <v>606517.53</v>
      </c>
      <c r="I57" s="289">
        <f t="shared" si="34"/>
        <v>153147.48000000001</v>
      </c>
      <c r="J57" s="289">
        <f t="shared" si="34"/>
        <v>126446.16</v>
      </c>
      <c r="K57" s="289">
        <f t="shared" si="34"/>
        <v>19663.79</v>
      </c>
      <c r="L57" s="289">
        <f t="shared" si="34"/>
        <v>149536.07</v>
      </c>
      <c r="M57" s="289">
        <f t="shared" si="34"/>
        <v>94853.49</v>
      </c>
      <c r="N57" s="266">
        <f t="shared" ref="N57" si="35">SUM(B57:M57)</f>
        <v>1974118.48</v>
      </c>
      <c r="O57" s="289"/>
      <c r="P57" s="289"/>
      <c r="Q57" s="289"/>
      <c r="R57" s="289"/>
    </row>
    <row r="58" spans="1:18" x14ac:dyDescent="0.25">
      <c r="A58" s="378" t="s">
        <v>181</v>
      </c>
      <c r="B58" s="289">
        <v>0</v>
      </c>
      <c r="C58" s="289">
        <v>0</v>
      </c>
      <c r="D58" s="289">
        <v>0</v>
      </c>
      <c r="E58" s="392">
        <v>0</v>
      </c>
      <c r="F58" s="289">
        <v>0</v>
      </c>
      <c r="G58" s="289"/>
      <c r="H58" s="290"/>
      <c r="I58" s="290"/>
      <c r="J58" s="290"/>
      <c r="K58" s="266"/>
      <c r="L58" s="289"/>
      <c r="M58" s="289"/>
      <c r="N58" s="289"/>
      <c r="O58" s="289"/>
      <c r="P58" s="289"/>
      <c r="Q58" s="289"/>
      <c r="R58" s="289"/>
    </row>
    <row r="59" spans="1:18" x14ac:dyDescent="0.25">
      <c r="A59" s="378" t="s">
        <v>182</v>
      </c>
      <c r="B59" s="289">
        <v>0</v>
      </c>
      <c r="C59" s="289">
        <v>0</v>
      </c>
      <c r="D59" s="289">
        <v>0</v>
      </c>
      <c r="E59" s="392">
        <v>0</v>
      </c>
      <c r="F59" s="289">
        <v>0</v>
      </c>
      <c r="G59" s="289"/>
      <c r="H59" s="290"/>
      <c r="I59" s="290"/>
      <c r="J59" s="290"/>
      <c r="K59" s="266"/>
      <c r="L59" s="289"/>
      <c r="M59" s="289"/>
      <c r="N59" s="289"/>
      <c r="O59" s="289"/>
      <c r="P59" s="289"/>
      <c r="Q59" s="289"/>
      <c r="R59" s="289"/>
    </row>
    <row r="60" spans="1:18" x14ac:dyDescent="0.25">
      <c r="A60" s="292"/>
      <c r="B60" s="289"/>
      <c r="C60" s="289"/>
      <c r="D60" s="289"/>
      <c r="E60" s="392"/>
      <c r="F60" s="289"/>
      <c r="G60" s="289"/>
      <c r="H60" s="290"/>
      <c r="I60" s="290"/>
      <c r="J60" s="290"/>
      <c r="K60" s="266"/>
      <c r="L60" s="289"/>
      <c r="M60" s="289"/>
      <c r="N60" s="289"/>
      <c r="O60" s="289"/>
      <c r="P60" s="289"/>
      <c r="Q60" s="289"/>
      <c r="R60" s="289"/>
    </row>
    <row r="61" spans="1:18" x14ac:dyDescent="0.25">
      <c r="A61" s="380" t="s">
        <v>184</v>
      </c>
      <c r="B61" s="294">
        <v>1</v>
      </c>
      <c r="C61" s="294">
        <v>1</v>
      </c>
      <c r="D61" s="294">
        <v>1</v>
      </c>
      <c r="E61" s="294">
        <v>1</v>
      </c>
      <c r="F61" s="294">
        <v>1</v>
      </c>
      <c r="G61" s="294">
        <v>1</v>
      </c>
      <c r="H61" s="294">
        <v>1</v>
      </c>
      <c r="I61" s="294">
        <v>1</v>
      </c>
      <c r="J61" s="294">
        <v>1</v>
      </c>
      <c r="K61" s="295">
        <v>1</v>
      </c>
      <c r="L61" s="294">
        <v>1</v>
      </c>
      <c r="M61" s="294">
        <v>1</v>
      </c>
      <c r="N61" s="294"/>
      <c r="O61" s="294"/>
      <c r="P61" s="294"/>
      <c r="Q61" s="294"/>
      <c r="R61" s="294"/>
    </row>
    <row r="62" spans="1:18" x14ac:dyDescent="0.25">
      <c r="A62" s="380" t="s">
        <v>185</v>
      </c>
      <c r="B62" s="294" t="s">
        <v>186</v>
      </c>
      <c r="C62" s="294" t="s">
        <v>186</v>
      </c>
      <c r="D62" s="294" t="s">
        <v>186</v>
      </c>
      <c r="E62" s="294" t="s">
        <v>186</v>
      </c>
      <c r="F62" s="294" t="s">
        <v>186</v>
      </c>
      <c r="G62" s="294" t="s">
        <v>186</v>
      </c>
      <c r="H62" s="294" t="s">
        <v>186</v>
      </c>
      <c r="I62" s="294" t="s">
        <v>186</v>
      </c>
      <c r="J62" s="294" t="s">
        <v>186</v>
      </c>
      <c r="K62" s="266" t="s">
        <v>186</v>
      </c>
      <c r="L62" s="294" t="s">
        <v>186</v>
      </c>
      <c r="M62" s="294" t="s">
        <v>186</v>
      </c>
      <c r="N62" s="294"/>
      <c r="O62" s="294"/>
      <c r="P62" s="294"/>
      <c r="Q62" s="294"/>
      <c r="R62" s="294"/>
    </row>
    <row r="63" spans="1:18" x14ac:dyDescent="0.25">
      <c r="A63" s="293"/>
      <c r="B63" s="294"/>
      <c r="C63" s="294"/>
      <c r="D63" s="294"/>
      <c r="E63" s="294"/>
      <c r="F63" s="294"/>
      <c r="G63" s="294"/>
      <c r="H63" s="294"/>
      <c r="I63" s="294"/>
      <c r="J63" s="294"/>
      <c r="K63" s="266"/>
      <c r="L63" s="294"/>
      <c r="M63" s="294"/>
      <c r="N63" s="294"/>
      <c r="O63" s="294"/>
      <c r="P63" s="294"/>
      <c r="Q63" s="294"/>
      <c r="R63" s="294"/>
    </row>
    <row r="64" spans="1:18" x14ac:dyDescent="0.25">
      <c r="A64" s="284" t="s">
        <v>187</v>
      </c>
      <c r="B64" s="289"/>
      <c r="C64" s="289"/>
      <c r="D64" s="289"/>
      <c r="E64" s="289"/>
      <c r="F64" s="289"/>
      <c r="G64" s="289"/>
      <c r="H64" s="289"/>
      <c r="I64" s="289"/>
      <c r="J64" s="289"/>
      <c r="K64" s="266"/>
      <c r="L64" s="289"/>
      <c r="M64" s="289"/>
      <c r="N64" s="289"/>
      <c r="O64" s="289"/>
      <c r="P64" s="289"/>
      <c r="Q64" s="289"/>
      <c r="R64" s="289"/>
    </row>
    <row r="65" spans="1:18" ht="17.25" x14ac:dyDescent="0.25">
      <c r="A65" s="291" t="s">
        <v>188</v>
      </c>
      <c r="B65" s="296">
        <f t="shared" ref="B65:C65" si="36">+B66+B69</f>
        <v>38900</v>
      </c>
      <c r="C65" s="296">
        <f t="shared" si="36"/>
        <v>50541</v>
      </c>
      <c r="D65" s="296">
        <f>+D66+D69</f>
        <v>93951</v>
      </c>
      <c r="E65" s="296">
        <f t="shared" ref="E65:M65" si="37">+E66+E69</f>
        <v>92729</v>
      </c>
      <c r="F65" s="296">
        <f t="shared" si="37"/>
        <v>34493</v>
      </c>
      <c r="G65" s="296">
        <f t="shared" si="37"/>
        <v>0</v>
      </c>
      <c r="H65" s="296">
        <f t="shared" si="37"/>
        <v>34195</v>
      </c>
      <c r="I65" s="296">
        <f t="shared" si="37"/>
        <v>109769</v>
      </c>
      <c r="J65" s="296">
        <f t="shared" si="37"/>
        <v>0</v>
      </c>
      <c r="K65" s="296">
        <f t="shared" si="37"/>
        <v>87482</v>
      </c>
      <c r="L65" s="296">
        <f t="shared" si="37"/>
        <v>26235</v>
      </c>
      <c r="M65" s="296">
        <f t="shared" si="37"/>
        <v>59867</v>
      </c>
      <c r="N65" s="288"/>
      <c r="O65" s="288"/>
      <c r="P65" s="288"/>
      <c r="Q65" s="288"/>
      <c r="R65" s="288"/>
    </row>
    <row r="66" spans="1:18" x14ac:dyDescent="0.25">
      <c r="A66" s="378" t="s">
        <v>189</v>
      </c>
      <c r="B66" s="289">
        <v>38900</v>
      </c>
      <c r="C66" s="289">
        <v>50541</v>
      </c>
      <c r="D66" s="297">
        <v>93951</v>
      </c>
      <c r="E66" s="297">
        <v>92729</v>
      </c>
      <c r="F66" s="297">
        <v>34493</v>
      </c>
      <c r="G66" s="289"/>
      <c r="H66" s="289">
        <v>34195</v>
      </c>
      <c r="I66" s="289">
        <v>109769</v>
      </c>
      <c r="J66" s="289"/>
      <c r="K66" s="289">
        <v>87482</v>
      </c>
      <c r="L66" s="289">
        <v>26235</v>
      </c>
      <c r="M66" s="289">
        <v>59867</v>
      </c>
      <c r="N66" s="266">
        <f t="shared" ref="N66" si="38">SUM(B66:M66)</f>
        <v>628162</v>
      </c>
      <c r="O66" s="289"/>
      <c r="P66" s="289"/>
      <c r="Q66" s="289"/>
      <c r="R66" s="289"/>
    </row>
    <row r="67" spans="1:18" x14ac:dyDescent="0.25">
      <c r="A67" s="378" t="s">
        <v>190</v>
      </c>
      <c r="B67" s="289">
        <v>0</v>
      </c>
      <c r="C67" s="289">
        <v>0</v>
      </c>
      <c r="D67" s="297">
        <v>0</v>
      </c>
      <c r="E67" s="289"/>
      <c r="F67" s="289"/>
      <c r="G67" s="289"/>
      <c r="H67" s="289"/>
      <c r="I67" s="289"/>
      <c r="J67" s="297"/>
      <c r="K67" s="266"/>
      <c r="L67" s="289"/>
      <c r="M67" s="289"/>
      <c r="N67" s="289"/>
      <c r="O67" s="289"/>
      <c r="P67" s="289"/>
      <c r="Q67" s="289"/>
      <c r="R67" s="289"/>
    </row>
    <row r="68" spans="1:18" x14ac:dyDescent="0.25">
      <c r="A68" s="378" t="s">
        <v>191</v>
      </c>
      <c r="B68" s="289">
        <v>0</v>
      </c>
      <c r="C68" s="289">
        <v>0</v>
      </c>
      <c r="D68" s="297">
        <v>0</v>
      </c>
      <c r="E68" s="294"/>
      <c r="F68" s="294"/>
      <c r="G68" s="294"/>
      <c r="H68" s="294"/>
      <c r="I68" s="289"/>
      <c r="J68" s="297"/>
      <c r="K68" s="266"/>
      <c r="L68" s="289"/>
      <c r="M68" s="289"/>
      <c r="N68" s="289"/>
      <c r="O68" s="289"/>
      <c r="P68" s="289"/>
      <c r="Q68" s="289"/>
      <c r="R68" s="289"/>
    </row>
    <row r="69" spans="1:18" x14ac:dyDescent="0.25">
      <c r="A69" s="381" t="s">
        <v>192</v>
      </c>
      <c r="B69" s="289">
        <v>0</v>
      </c>
      <c r="C69" s="289">
        <v>0</v>
      </c>
      <c r="D69" s="297">
        <v>0</v>
      </c>
      <c r="E69" s="297"/>
      <c r="F69" s="297"/>
      <c r="G69" s="297"/>
      <c r="H69" s="297"/>
      <c r="I69" s="289"/>
      <c r="J69" s="297"/>
      <c r="K69" s="298"/>
      <c r="L69" s="289"/>
      <c r="M69" s="289"/>
      <c r="N69" s="289"/>
      <c r="O69" s="289"/>
      <c r="P69" s="289"/>
      <c r="Q69" s="289"/>
      <c r="R69" s="289"/>
    </row>
    <row r="70" spans="1:18" x14ac:dyDescent="0.25">
      <c r="A70" s="299"/>
      <c r="B70" s="300"/>
      <c r="C70" s="300"/>
      <c r="D70" s="294"/>
      <c r="E70" s="294"/>
      <c r="F70" s="300"/>
      <c r="G70" s="294"/>
      <c r="H70" s="294"/>
      <c r="I70" s="300"/>
      <c r="J70" s="294"/>
      <c r="K70" s="266"/>
      <c r="L70" s="300"/>
      <c r="M70" s="300"/>
      <c r="N70" s="300"/>
      <c r="O70" s="300"/>
      <c r="P70" s="300"/>
      <c r="Q70" s="300"/>
      <c r="R70" s="300"/>
    </row>
    <row r="71" spans="1:18" ht="15.75" x14ac:dyDescent="0.25">
      <c r="A71" s="301" t="s">
        <v>193</v>
      </c>
      <c r="B71" s="277">
        <f>+B72+B73+B74+B75+B76</f>
        <v>20723</v>
      </c>
      <c r="C71" s="277">
        <f>SUM(C72:C76)</f>
        <v>19520</v>
      </c>
      <c r="D71" s="277">
        <f>SUM(D72:D76)</f>
        <v>19905</v>
      </c>
      <c r="E71" s="277">
        <f t="shared" ref="E71:M71" si="39">SUM(E72:E76)</f>
        <v>22464</v>
      </c>
      <c r="F71" s="277">
        <f t="shared" si="39"/>
        <v>23131</v>
      </c>
      <c r="G71" s="277">
        <f t="shared" si="39"/>
        <v>23779</v>
      </c>
      <c r="H71" s="277">
        <f t="shared" si="39"/>
        <v>24890</v>
      </c>
      <c r="I71" s="277">
        <f t="shared" si="39"/>
        <v>24391</v>
      </c>
      <c r="J71" s="277">
        <f t="shared" si="39"/>
        <v>24402</v>
      </c>
      <c r="K71" s="277">
        <f t="shared" si="39"/>
        <v>23514</v>
      </c>
      <c r="L71" s="277">
        <f t="shared" si="39"/>
        <v>20440</v>
      </c>
      <c r="M71" s="277">
        <f t="shared" si="39"/>
        <v>23074</v>
      </c>
      <c r="N71" s="277">
        <f>SUM(N72:N76)</f>
        <v>270233</v>
      </c>
      <c r="O71" s="277"/>
      <c r="P71" s="277"/>
      <c r="Q71" s="277"/>
      <c r="R71" s="277"/>
    </row>
    <row r="72" spans="1:18" x14ac:dyDescent="0.25">
      <c r="A72" s="378" t="s">
        <v>194</v>
      </c>
      <c r="B72" s="289">
        <v>18864</v>
      </c>
      <c r="C72" s="289">
        <v>17303</v>
      </c>
      <c r="D72" s="302">
        <v>17977</v>
      </c>
      <c r="E72" s="289">
        <v>20166</v>
      </c>
      <c r="F72" s="289">
        <v>20571</v>
      </c>
      <c r="G72" s="289">
        <v>21358</v>
      </c>
      <c r="H72" s="289">
        <v>21968</v>
      </c>
      <c r="I72" s="289">
        <v>21779</v>
      </c>
      <c r="J72" s="289">
        <v>22228</v>
      </c>
      <c r="K72" s="266">
        <v>21490</v>
      </c>
      <c r="L72" s="289">
        <v>18239</v>
      </c>
      <c r="M72" s="289">
        <v>19843</v>
      </c>
      <c r="N72" s="289">
        <f>SUM(B72:M72)</f>
        <v>241786</v>
      </c>
      <c r="O72" s="289"/>
      <c r="P72" s="289"/>
      <c r="Q72" s="289"/>
      <c r="R72" s="289"/>
    </row>
    <row r="73" spans="1:18" x14ac:dyDescent="0.25">
      <c r="A73" s="378" t="s">
        <v>195</v>
      </c>
      <c r="B73" s="289">
        <v>1498</v>
      </c>
      <c r="C73" s="289">
        <v>1912</v>
      </c>
      <c r="D73" s="302">
        <v>1593</v>
      </c>
      <c r="E73" s="289">
        <v>1901</v>
      </c>
      <c r="F73" s="289">
        <v>2001</v>
      </c>
      <c r="G73" s="289">
        <v>1729</v>
      </c>
      <c r="H73" s="289">
        <v>1675</v>
      </c>
      <c r="I73" s="289">
        <v>2021</v>
      </c>
      <c r="J73" s="289">
        <v>1814</v>
      </c>
      <c r="K73" s="266">
        <v>1543</v>
      </c>
      <c r="L73" s="289">
        <v>1829</v>
      </c>
      <c r="M73" s="289">
        <v>2328</v>
      </c>
      <c r="N73" s="289">
        <f>SUM(B73:M73)</f>
        <v>21844</v>
      </c>
      <c r="O73" s="289"/>
      <c r="P73" s="289"/>
      <c r="Q73" s="289"/>
      <c r="R73" s="289"/>
    </row>
    <row r="74" spans="1:18" x14ac:dyDescent="0.25">
      <c r="A74" s="378" t="s">
        <v>196</v>
      </c>
      <c r="B74" s="289">
        <v>0</v>
      </c>
      <c r="C74" s="289">
        <v>0</v>
      </c>
      <c r="D74" s="302">
        <v>0</v>
      </c>
      <c r="E74" s="289">
        <v>0</v>
      </c>
      <c r="F74" s="289">
        <v>0</v>
      </c>
      <c r="G74" s="289">
        <v>0</v>
      </c>
      <c r="H74" s="289"/>
      <c r="I74" s="289">
        <v>0</v>
      </c>
      <c r="J74" s="289">
        <v>0</v>
      </c>
      <c r="K74" s="266">
        <v>0</v>
      </c>
      <c r="L74" s="289">
        <v>0</v>
      </c>
      <c r="M74" s="289">
        <v>0</v>
      </c>
      <c r="N74" s="289">
        <f>SUM(B74:M74)</f>
        <v>0</v>
      </c>
      <c r="O74" s="289"/>
      <c r="P74" s="289"/>
      <c r="Q74" s="289"/>
      <c r="R74" s="289"/>
    </row>
    <row r="75" spans="1:18" x14ac:dyDescent="0.25">
      <c r="A75" s="378" t="s">
        <v>197</v>
      </c>
      <c r="B75" s="289">
        <v>167</v>
      </c>
      <c r="C75" s="289">
        <v>128</v>
      </c>
      <c r="D75" s="302">
        <v>123</v>
      </c>
      <c r="E75" s="289">
        <v>236</v>
      </c>
      <c r="F75" s="289">
        <v>267</v>
      </c>
      <c r="G75" s="289">
        <v>213</v>
      </c>
      <c r="H75" s="289">
        <v>383</v>
      </c>
      <c r="I75" s="289">
        <v>356</v>
      </c>
      <c r="J75" s="289">
        <v>181</v>
      </c>
      <c r="K75" s="266">
        <v>319</v>
      </c>
      <c r="L75" s="289">
        <v>269</v>
      </c>
      <c r="M75" s="289">
        <v>518</v>
      </c>
      <c r="N75" s="289">
        <f>SUM(B75:M75)</f>
        <v>3160</v>
      </c>
      <c r="O75" s="289"/>
      <c r="P75" s="289"/>
      <c r="Q75" s="289"/>
      <c r="R75" s="289"/>
    </row>
    <row r="76" spans="1:18" x14ac:dyDescent="0.25">
      <c r="A76" s="378" t="s">
        <v>198</v>
      </c>
      <c r="B76" s="289">
        <v>194</v>
      </c>
      <c r="C76" s="289">
        <v>177</v>
      </c>
      <c r="D76" s="302">
        <v>212</v>
      </c>
      <c r="E76" s="289">
        <v>161</v>
      </c>
      <c r="F76" s="289">
        <v>292</v>
      </c>
      <c r="G76" s="289">
        <v>479</v>
      </c>
      <c r="H76" s="289">
        <v>864</v>
      </c>
      <c r="I76" s="289">
        <v>235</v>
      </c>
      <c r="J76" s="289">
        <v>179</v>
      </c>
      <c r="K76" s="266">
        <v>162</v>
      </c>
      <c r="L76" s="289">
        <v>103</v>
      </c>
      <c r="M76" s="289">
        <v>385</v>
      </c>
      <c r="N76" s="289">
        <f>SUM(B76:M76)</f>
        <v>3443</v>
      </c>
      <c r="O76" s="289"/>
      <c r="P76" s="289"/>
      <c r="Q76" s="289"/>
      <c r="R76" s="289"/>
    </row>
    <row r="77" spans="1:18" x14ac:dyDescent="0.25">
      <c r="A77" s="271"/>
      <c r="B77" s="289"/>
      <c r="C77" s="289"/>
      <c r="D77" s="289"/>
      <c r="E77" s="289"/>
      <c r="F77" s="289"/>
      <c r="G77" s="289"/>
      <c r="H77" s="289"/>
      <c r="I77" s="289"/>
      <c r="J77" s="289"/>
      <c r="K77" s="266"/>
      <c r="L77" s="289"/>
      <c r="M77" s="289"/>
      <c r="N77" s="289"/>
      <c r="O77" s="289"/>
      <c r="P77" s="289"/>
      <c r="Q77" s="289"/>
      <c r="R77" s="289"/>
    </row>
    <row r="78" spans="1:18" x14ac:dyDescent="0.25">
      <c r="A78" s="303"/>
      <c r="B78" s="304"/>
      <c r="C78" s="304"/>
      <c r="D78" s="304"/>
      <c r="E78" s="304"/>
      <c r="F78" s="304"/>
      <c r="G78" s="304"/>
      <c r="H78" s="304"/>
      <c r="I78" s="304"/>
      <c r="J78" s="304"/>
      <c r="K78" s="266"/>
      <c r="L78" s="304"/>
      <c r="M78" s="304"/>
      <c r="N78" s="304"/>
      <c r="O78" s="304"/>
      <c r="P78" s="304"/>
      <c r="Q78" s="304"/>
      <c r="R78" s="304"/>
    </row>
    <row r="79" spans="1:18" ht="15.75" x14ac:dyDescent="0.25">
      <c r="A79" s="301" t="s">
        <v>199</v>
      </c>
      <c r="B79" s="277">
        <f>+B80+B81</f>
        <v>17527</v>
      </c>
      <c r="C79" s="277">
        <f t="shared" ref="C79:M79" si="40">SUM(C80:C81)</f>
        <v>16107</v>
      </c>
      <c r="D79" s="277">
        <f t="shared" si="40"/>
        <v>16474</v>
      </c>
      <c r="E79" s="277">
        <f t="shared" si="40"/>
        <v>17379</v>
      </c>
      <c r="F79" s="277">
        <f t="shared" si="40"/>
        <v>17209</v>
      </c>
      <c r="G79" s="277">
        <f t="shared" si="40"/>
        <v>18132</v>
      </c>
      <c r="H79" s="277">
        <f t="shared" si="40"/>
        <v>0</v>
      </c>
      <c r="I79" s="277">
        <f t="shared" si="40"/>
        <v>15303</v>
      </c>
      <c r="J79" s="277">
        <f t="shared" si="40"/>
        <v>21301</v>
      </c>
      <c r="K79" s="277">
        <f t="shared" si="40"/>
        <v>15128</v>
      </c>
      <c r="L79" s="277">
        <f t="shared" si="40"/>
        <v>16982</v>
      </c>
      <c r="M79" s="277">
        <f t="shared" si="40"/>
        <v>19137</v>
      </c>
      <c r="N79" s="277">
        <f>SUM(B79:M79)</f>
        <v>190679</v>
      </c>
      <c r="O79" s="277"/>
      <c r="P79" s="277"/>
      <c r="Q79" s="277"/>
      <c r="R79" s="277"/>
    </row>
    <row r="80" spans="1:18" x14ac:dyDescent="0.25">
      <c r="A80" s="378" t="s">
        <v>200</v>
      </c>
      <c r="B80" s="289">
        <v>14494</v>
      </c>
      <c r="C80" s="289">
        <v>14162</v>
      </c>
      <c r="D80" s="289">
        <v>13888</v>
      </c>
      <c r="E80" s="289">
        <v>14939</v>
      </c>
      <c r="F80" s="289">
        <v>15277</v>
      </c>
      <c r="G80" s="289">
        <v>15801</v>
      </c>
      <c r="H80" s="289"/>
      <c r="I80" s="289">
        <v>13852</v>
      </c>
      <c r="J80" s="289">
        <v>18569</v>
      </c>
      <c r="K80" s="266">
        <v>13038</v>
      </c>
      <c r="L80" s="289">
        <v>15039</v>
      </c>
      <c r="M80" s="289">
        <v>16767</v>
      </c>
      <c r="N80" s="289">
        <f>SUM(B80:M80)</f>
        <v>165826</v>
      </c>
      <c r="O80" s="289"/>
      <c r="P80" s="289"/>
      <c r="Q80" s="289"/>
      <c r="R80" s="289"/>
    </row>
    <row r="81" spans="1:18" x14ac:dyDescent="0.25">
      <c r="A81" s="378" t="s">
        <v>201</v>
      </c>
      <c r="B81" s="289">
        <v>3033</v>
      </c>
      <c r="C81" s="289">
        <v>1945</v>
      </c>
      <c r="D81" s="289">
        <v>2586</v>
      </c>
      <c r="E81" s="289">
        <v>2440</v>
      </c>
      <c r="F81" s="289">
        <v>1932</v>
      </c>
      <c r="G81" s="289">
        <v>2331</v>
      </c>
      <c r="H81" s="289"/>
      <c r="I81" s="289">
        <v>1451</v>
      </c>
      <c r="J81" s="289">
        <v>2732</v>
      </c>
      <c r="K81" s="266">
        <v>2090</v>
      </c>
      <c r="L81" s="289">
        <v>1943</v>
      </c>
      <c r="M81" s="289">
        <v>2370</v>
      </c>
      <c r="N81" s="289">
        <f>SUM(B81:M81)</f>
        <v>24853</v>
      </c>
      <c r="O81" s="289"/>
      <c r="P81" s="289"/>
      <c r="Q81" s="289"/>
      <c r="R81" s="289"/>
    </row>
    <row r="82" spans="1:18" x14ac:dyDescent="0.25">
      <c r="A82" s="305"/>
      <c r="B82" s="306"/>
      <c r="C82" s="306"/>
      <c r="D82" s="306"/>
      <c r="E82" s="306"/>
      <c r="F82" s="306"/>
      <c r="G82" s="306"/>
      <c r="H82" s="306"/>
      <c r="I82" s="306"/>
      <c r="J82" s="306"/>
      <c r="K82" s="266"/>
      <c r="L82" s="306"/>
      <c r="M82" s="306"/>
      <c r="N82" s="306"/>
      <c r="O82" s="306"/>
      <c r="P82" s="306"/>
      <c r="Q82" s="306"/>
      <c r="R82" s="306"/>
    </row>
    <row r="83" spans="1:18" x14ac:dyDescent="0.25">
      <c r="A83" s="284" t="s">
        <v>202</v>
      </c>
      <c r="B83" s="266"/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</row>
    <row r="84" spans="1:18" ht="15.75" x14ac:dyDescent="0.25">
      <c r="A84" s="307" t="s">
        <v>203</v>
      </c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</row>
    <row r="85" spans="1:18" x14ac:dyDescent="0.25">
      <c r="A85" s="402" t="s">
        <v>204</v>
      </c>
      <c r="B85" s="308"/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</row>
    <row r="86" spans="1:18" x14ac:dyDescent="0.25">
      <c r="A86" s="402" t="s">
        <v>205</v>
      </c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</row>
    <row r="87" spans="1:18" x14ac:dyDescent="0.25">
      <c r="A87" s="401" t="s">
        <v>206</v>
      </c>
      <c r="B87" s="289">
        <v>0</v>
      </c>
      <c r="C87" s="289">
        <v>0</v>
      </c>
      <c r="D87" s="289">
        <v>0</v>
      </c>
      <c r="E87" s="289"/>
      <c r="F87" s="289"/>
      <c r="G87" s="289"/>
      <c r="H87" s="290"/>
      <c r="I87" s="289"/>
      <c r="J87" s="289"/>
      <c r="K87" s="266"/>
      <c r="L87" s="289"/>
      <c r="M87" s="289"/>
      <c r="N87" s="289"/>
      <c r="O87" s="289"/>
      <c r="P87" s="289"/>
      <c r="Q87" s="289"/>
      <c r="R87" s="289"/>
    </row>
    <row r="88" spans="1:18" x14ac:dyDescent="0.25">
      <c r="A88" s="401" t="s">
        <v>207</v>
      </c>
      <c r="B88" s="289">
        <v>0</v>
      </c>
      <c r="C88" s="289">
        <v>0</v>
      </c>
      <c r="D88" s="289">
        <v>0</v>
      </c>
      <c r="E88" s="289">
        <v>0</v>
      </c>
      <c r="F88" s="289">
        <v>0</v>
      </c>
      <c r="G88" s="289">
        <v>0</v>
      </c>
      <c r="H88" s="289">
        <v>0</v>
      </c>
      <c r="I88" s="289">
        <v>0</v>
      </c>
      <c r="J88" s="289">
        <v>0</v>
      </c>
      <c r="K88" s="266">
        <v>0</v>
      </c>
      <c r="L88" s="289">
        <v>0</v>
      </c>
      <c r="M88" s="289">
        <v>0</v>
      </c>
      <c r="N88" s="289"/>
      <c r="O88" s="289"/>
      <c r="P88" s="289"/>
      <c r="Q88" s="289"/>
      <c r="R88" s="289"/>
    </row>
    <row r="89" spans="1:18" x14ac:dyDescent="0.25">
      <c r="A89" s="309" t="s">
        <v>208</v>
      </c>
      <c r="B89" s="289">
        <f>+B86-B87-B88</f>
        <v>0</v>
      </c>
      <c r="C89" s="289">
        <f>+C86-C87-C88</f>
        <v>0</v>
      </c>
      <c r="D89" s="289">
        <f t="shared" ref="D89:M89" si="41">+D86-D87-D88</f>
        <v>0</v>
      </c>
      <c r="E89" s="289">
        <f t="shared" si="41"/>
        <v>0</v>
      </c>
      <c r="F89" s="289">
        <f t="shared" si="41"/>
        <v>0</v>
      </c>
      <c r="G89" s="289">
        <f t="shared" si="41"/>
        <v>0</v>
      </c>
      <c r="H89" s="289">
        <f t="shared" si="41"/>
        <v>0</v>
      </c>
      <c r="I89" s="289">
        <f t="shared" si="41"/>
        <v>0</v>
      </c>
      <c r="J89" s="289">
        <f t="shared" si="41"/>
        <v>0</v>
      </c>
      <c r="K89" s="289">
        <f t="shared" si="41"/>
        <v>0</v>
      </c>
      <c r="L89" s="289">
        <f t="shared" si="41"/>
        <v>0</v>
      </c>
      <c r="M89" s="289">
        <f t="shared" si="41"/>
        <v>0</v>
      </c>
      <c r="N89" s="289"/>
      <c r="O89" s="289"/>
      <c r="P89" s="289"/>
      <c r="Q89" s="289"/>
      <c r="R89" s="289"/>
    </row>
    <row r="90" spans="1:18" x14ac:dyDescent="0.25">
      <c r="A90" s="309"/>
      <c r="B90" s="289"/>
      <c r="C90" s="289"/>
      <c r="D90" s="289"/>
      <c r="E90" s="289"/>
      <c r="F90" s="289"/>
      <c r="G90" s="289"/>
      <c r="H90" s="289"/>
      <c r="I90" s="289"/>
      <c r="J90" s="289"/>
      <c r="K90" s="266"/>
      <c r="L90" s="289"/>
      <c r="M90" s="289"/>
      <c r="N90" s="289"/>
      <c r="O90" s="289"/>
      <c r="P90" s="289"/>
      <c r="Q90" s="289"/>
      <c r="R90" s="289"/>
    </row>
    <row r="91" spans="1:18" x14ac:dyDescent="0.25">
      <c r="A91" s="284" t="s">
        <v>114</v>
      </c>
      <c r="B91" s="310"/>
      <c r="C91" s="310"/>
      <c r="D91" s="310"/>
      <c r="E91" s="310"/>
      <c r="F91" s="310"/>
      <c r="G91" s="310"/>
      <c r="H91" s="310"/>
      <c r="I91" s="310"/>
      <c r="J91" s="310"/>
      <c r="K91" s="266"/>
      <c r="L91" s="310"/>
      <c r="M91" s="310"/>
      <c r="N91" s="310"/>
      <c r="O91" s="310"/>
      <c r="P91" s="310"/>
      <c r="Q91" s="310"/>
      <c r="R91" s="310"/>
    </row>
    <row r="92" spans="1:18" ht="15.75" x14ac:dyDescent="0.25">
      <c r="A92" s="301" t="s">
        <v>209</v>
      </c>
      <c r="B92" s="277">
        <f t="shared" ref="B92:M92" si="42">SUM(B93:B97)</f>
        <v>404370.87</v>
      </c>
      <c r="C92" s="277">
        <f t="shared" si="42"/>
        <v>399102.06999999995</v>
      </c>
      <c r="D92" s="277">
        <f t="shared" si="42"/>
        <v>397600.56</v>
      </c>
      <c r="E92" s="277">
        <f t="shared" si="42"/>
        <v>424605.23</v>
      </c>
      <c r="F92" s="277">
        <f t="shared" si="42"/>
        <v>436052.19</v>
      </c>
      <c r="G92" s="277">
        <f t="shared" si="42"/>
        <v>440708.44</v>
      </c>
      <c r="H92" s="277">
        <f t="shared" si="42"/>
        <v>456424.95000000007</v>
      </c>
      <c r="I92" s="277">
        <f t="shared" si="42"/>
        <v>460604.38</v>
      </c>
      <c r="J92" s="277">
        <f t="shared" si="42"/>
        <v>472228.38</v>
      </c>
      <c r="K92" s="277">
        <f t="shared" si="42"/>
        <v>459724.76</v>
      </c>
      <c r="L92" s="277">
        <f t="shared" si="42"/>
        <v>429534.73</v>
      </c>
      <c r="M92" s="277">
        <f t="shared" si="42"/>
        <v>472495.28</v>
      </c>
      <c r="N92" s="277"/>
      <c r="O92" s="277"/>
      <c r="P92" s="277"/>
      <c r="Q92" s="277"/>
      <c r="R92" s="277"/>
    </row>
    <row r="93" spans="1:18" x14ac:dyDescent="0.25">
      <c r="A93" s="378" t="s">
        <v>194</v>
      </c>
      <c r="B93" s="289">
        <v>359969.5</v>
      </c>
      <c r="C93" s="289">
        <v>349214.35</v>
      </c>
      <c r="D93" s="289">
        <v>352186.71</v>
      </c>
      <c r="E93" s="289">
        <v>375012.06</v>
      </c>
      <c r="F93" s="289">
        <v>382966.63</v>
      </c>
      <c r="G93" s="289">
        <v>390701.86</v>
      </c>
      <c r="H93" s="289">
        <v>401066.52</v>
      </c>
      <c r="I93" s="289">
        <v>407460.67</v>
      </c>
      <c r="J93" s="289">
        <v>423847.69</v>
      </c>
      <c r="K93" s="289">
        <v>415135.13</v>
      </c>
      <c r="L93" s="289">
        <v>380475.42</v>
      </c>
      <c r="M93" s="289">
        <v>404823.56</v>
      </c>
      <c r="N93" s="266">
        <f t="shared" ref="N93:N97" si="43">SUM(B93:M93)</f>
        <v>4642860.0999999996</v>
      </c>
      <c r="O93" s="289"/>
      <c r="P93" s="289"/>
      <c r="Q93" s="289"/>
      <c r="R93" s="289"/>
    </row>
    <row r="94" spans="1:18" x14ac:dyDescent="0.25">
      <c r="A94" s="378" t="s">
        <v>195</v>
      </c>
      <c r="B94" s="289">
        <v>38939.199999999997</v>
      </c>
      <c r="C94" s="289">
        <v>44230.36</v>
      </c>
      <c r="D94" s="289">
        <v>39943.599999999999</v>
      </c>
      <c r="E94" s="289">
        <v>44298.61</v>
      </c>
      <c r="F94" s="289">
        <v>45734.71</v>
      </c>
      <c r="G94" s="289">
        <v>40151.870000000003</v>
      </c>
      <c r="H94" s="289">
        <v>38998.160000000003</v>
      </c>
      <c r="I94" s="289">
        <v>45954.95</v>
      </c>
      <c r="J94" s="289">
        <v>42844.66</v>
      </c>
      <c r="K94" s="289">
        <v>38938.76</v>
      </c>
      <c r="L94" s="289">
        <v>44090.94</v>
      </c>
      <c r="M94" s="289">
        <v>57087.839999999997</v>
      </c>
      <c r="N94" s="266">
        <f t="shared" si="43"/>
        <v>521213.66000000003</v>
      </c>
      <c r="O94" s="289"/>
      <c r="P94" s="289"/>
      <c r="Q94" s="289"/>
      <c r="R94" s="289"/>
    </row>
    <row r="95" spans="1:18" x14ac:dyDescent="0.25">
      <c r="A95" s="378" t="s">
        <v>196</v>
      </c>
      <c r="B95" s="289">
        <v>0</v>
      </c>
      <c r="C95" s="289">
        <v>0</v>
      </c>
      <c r="D95" s="289">
        <v>0</v>
      </c>
      <c r="E95" s="289">
        <v>0</v>
      </c>
      <c r="F95" s="289">
        <v>0</v>
      </c>
      <c r="G95" s="289">
        <v>0</v>
      </c>
      <c r="H95" s="289">
        <v>0</v>
      </c>
      <c r="I95" s="289">
        <v>0</v>
      </c>
      <c r="J95" s="289">
        <v>0</v>
      </c>
      <c r="K95" s="289">
        <v>0</v>
      </c>
      <c r="L95" s="289">
        <v>0</v>
      </c>
      <c r="M95" s="289">
        <v>0</v>
      </c>
      <c r="N95" s="266">
        <f t="shared" si="43"/>
        <v>0</v>
      </c>
      <c r="O95" s="289"/>
      <c r="P95" s="289"/>
      <c r="Q95" s="289"/>
      <c r="R95" s="289"/>
    </row>
    <row r="96" spans="1:18" x14ac:dyDescent="0.25">
      <c r="A96" s="378" t="s">
        <v>197</v>
      </c>
      <c r="B96" s="289">
        <v>1128.06</v>
      </c>
      <c r="C96" s="289">
        <v>1145.93</v>
      </c>
      <c r="D96" s="289">
        <v>951.39</v>
      </c>
      <c r="E96" s="289">
        <v>1271.93</v>
      </c>
      <c r="F96" s="289">
        <v>1329.63</v>
      </c>
      <c r="G96" s="289">
        <v>1233.51</v>
      </c>
      <c r="H96" s="289">
        <v>1809.38</v>
      </c>
      <c r="I96" s="289">
        <v>1896.83</v>
      </c>
      <c r="J96" s="289">
        <v>1231.33</v>
      </c>
      <c r="K96" s="289">
        <v>1581.98</v>
      </c>
      <c r="L96" s="289">
        <v>1433.39</v>
      </c>
      <c r="M96" s="289">
        <v>2624.57</v>
      </c>
      <c r="N96" s="266">
        <f t="shared" si="43"/>
        <v>17637.93</v>
      </c>
      <c r="O96" s="289"/>
      <c r="P96" s="289"/>
      <c r="Q96" s="289"/>
      <c r="R96" s="289"/>
    </row>
    <row r="97" spans="1:18" x14ac:dyDescent="0.25">
      <c r="A97" s="378" t="s">
        <v>198</v>
      </c>
      <c r="B97" s="289">
        <v>4334.1099999999997</v>
      </c>
      <c r="C97" s="289">
        <v>4511.43</v>
      </c>
      <c r="D97" s="289">
        <v>4518.8599999999997</v>
      </c>
      <c r="E97" s="289">
        <v>4022.63</v>
      </c>
      <c r="F97" s="289">
        <v>6021.22</v>
      </c>
      <c r="G97" s="289">
        <v>8621.2000000000007</v>
      </c>
      <c r="H97" s="289">
        <v>14550.89</v>
      </c>
      <c r="I97" s="289">
        <v>5291.93</v>
      </c>
      <c r="J97" s="289">
        <v>4304.7</v>
      </c>
      <c r="K97" s="289">
        <v>4068.89</v>
      </c>
      <c r="L97" s="289">
        <v>3534.98</v>
      </c>
      <c r="M97" s="289">
        <v>7959.31</v>
      </c>
      <c r="N97" s="266">
        <f t="shared" si="43"/>
        <v>71740.150000000009</v>
      </c>
      <c r="O97" s="289"/>
      <c r="P97" s="289"/>
      <c r="Q97" s="289"/>
      <c r="R97" s="289"/>
    </row>
    <row r="98" spans="1:18" x14ac:dyDescent="0.25">
      <c r="A98" s="311"/>
      <c r="B98" s="312"/>
      <c r="C98" s="312"/>
      <c r="D98" s="312"/>
      <c r="E98" s="312"/>
      <c r="F98" s="312"/>
      <c r="G98" s="312"/>
      <c r="H98" s="312"/>
      <c r="I98" s="312"/>
      <c r="J98" s="312"/>
      <c r="K98" s="312"/>
      <c r="L98" s="312"/>
      <c r="M98" s="312"/>
      <c r="N98" s="312"/>
      <c r="O98" s="312"/>
      <c r="P98" s="312"/>
      <c r="Q98" s="312"/>
      <c r="R98" s="312"/>
    </row>
    <row r="99" spans="1:18" ht="15.75" x14ac:dyDescent="0.25">
      <c r="A99" s="301" t="s">
        <v>210</v>
      </c>
      <c r="B99" s="277">
        <f>+B100+B101+B102+B103+B104</f>
        <v>345870.7</v>
      </c>
      <c r="C99" s="277">
        <f>+C100+C101+C102+C103+C104</f>
        <v>424813.54000000004</v>
      </c>
      <c r="D99" s="277">
        <f t="shared" ref="D99:M99" si="44">+D100+D101+D102+D103+D104</f>
        <v>410445.1</v>
      </c>
      <c r="E99" s="277">
        <f t="shared" si="44"/>
        <v>382740.07000000007</v>
      </c>
      <c r="F99" s="277">
        <f t="shared" si="44"/>
        <v>411830.12000000005</v>
      </c>
      <c r="G99" s="277">
        <f t="shared" si="44"/>
        <v>391862.18</v>
      </c>
      <c r="H99" s="277">
        <f t="shared" si="44"/>
        <v>313804.90000000002</v>
      </c>
      <c r="I99" s="277">
        <f t="shared" si="44"/>
        <v>519592.20000000007</v>
      </c>
      <c r="J99" s="277">
        <f t="shared" si="44"/>
        <v>411380.57</v>
      </c>
      <c r="K99" s="277">
        <f t="shared" si="44"/>
        <v>390845.62</v>
      </c>
      <c r="L99" s="277">
        <f t="shared" si="44"/>
        <v>418128.18000000005</v>
      </c>
      <c r="M99" s="277">
        <f t="shared" si="44"/>
        <v>413216.09</v>
      </c>
      <c r="N99" s="277"/>
      <c r="O99" s="277"/>
      <c r="P99" s="277"/>
      <c r="Q99" s="277"/>
      <c r="R99" s="277"/>
    </row>
    <row r="100" spans="1:18" ht="14.25" customHeight="1" x14ac:dyDescent="0.25">
      <c r="A100" s="378" t="s">
        <v>194</v>
      </c>
      <c r="B100" s="289">
        <f>179502.42+1231.15+117989.83+1349.82</f>
        <v>300073.22000000003</v>
      </c>
      <c r="C100" s="289">
        <f>171677.91+1428.92+167542.25+8243.99</f>
        <v>348893.07</v>
      </c>
      <c r="D100" s="289">
        <f>375664.87+3274.31</f>
        <v>378939.18</v>
      </c>
      <c r="E100" s="289">
        <f>329335+12021.31</f>
        <v>341356.31</v>
      </c>
      <c r="F100" s="289">
        <f>192050.38+1616.84+181345.05+2168.45</f>
        <v>377180.72000000003</v>
      </c>
      <c r="G100" s="289">
        <f>208659.36+1667.19+152632.95+1305.36</f>
        <v>364264.86</v>
      </c>
      <c r="H100" s="289">
        <f>276892.09+2237.29</f>
        <v>279129.38</v>
      </c>
      <c r="I100" s="289">
        <f>428441.21+3804.49</f>
        <v>432245.7</v>
      </c>
      <c r="J100" s="289">
        <f>184780.92+151.47+183071.19</f>
        <v>368003.58</v>
      </c>
      <c r="K100" s="289">
        <f>208207.09+568.45+150787.37+404.05</f>
        <v>359966.96</v>
      </c>
      <c r="L100" s="289">
        <f>193386.17+1643.21+187067.17+1779.67</f>
        <v>383876.22000000003</v>
      </c>
      <c r="M100" s="289">
        <f>210333.8+1813.98+159244.78+1154.26</f>
        <v>372546.82</v>
      </c>
      <c r="N100" s="266">
        <f t="shared" ref="N100:N103" si="45">SUM(B100:M100)</f>
        <v>4306476.0200000005</v>
      </c>
      <c r="O100" s="289"/>
      <c r="P100" s="289"/>
      <c r="Q100" s="289"/>
      <c r="R100" s="289"/>
    </row>
    <row r="101" spans="1:18" x14ac:dyDescent="0.25">
      <c r="A101" s="378" t="s">
        <v>195</v>
      </c>
      <c r="B101" s="289">
        <f>19079.07+4687.03+21560.07+247.09</f>
        <v>45573.259999999995</v>
      </c>
      <c r="C101" s="289">
        <f>23475.1+5177.17+36010.16+11126.54</f>
        <v>75788.97</v>
      </c>
      <c r="D101" s="289">
        <f>19926.55+10537.21</f>
        <v>30463.759999999998</v>
      </c>
      <c r="E101" s="289">
        <f>35735.55+5302.91</f>
        <v>41038.460000000006</v>
      </c>
      <c r="F101" s="289">
        <f>25176.94+5273.45+4075.03+56.05</f>
        <v>34581.47</v>
      </c>
      <c r="G101" s="289">
        <f>18694.19+5254.83+3552.97+27</f>
        <v>27528.989999999998</v>
      </c>
      <c r="H101" s="289">
        <f>28989.83+5352.49</f>
        <v>34342.32</v>
      </c>
      <c r="I101" s="289">
        <f>81064.96+6212.39</f>
        <v>87277.35</v>
      </c>
      <c r="J101" s="289">
        <f>23755.22+6719.07+12003.59+473.24</f>
        <v>42951.12</v>
      </c>
      <c r="K101" s="289">
        <f>23733.19+1456.21+4919.9+699.37</f>
        <v>30808.669999999995</v>
      </c>
      <c r="L101" s="289">
        <f>19981.93+10598.9+3569.15+31.58</f>
        <v>34181.560000000005</v>
      </c>
      <c r="M101" s="289">
        <f>21349.27+5511.26+13616.35+121.56</f>
        <v>40598.439999999995</v>
      </c>
      <c r="N101" s="266">
        <f t="shared" si="45"/>
        <v>525134.36999999988</v>
      </c>
      <c r="O101" s="289"/>
      <c r="P101" s="289"/>
      <c r="Q101" s="289"/>
      <c r="R101" s="289"/>
    </row>
    <row r="102" spans="1:18" x14ac:dyDescent="0.25">
      <c r="A102" s="378" t="s">
        <v>196</v>
      </c>
      <c r="B102" s="289">
        <v>0</v>
      </c>
      <c r="C102" s="289">
        <v>0</v>
      </c>
      <c r="D102" s="289">
        <v>0</v>
      </c>
      <c r="E102" s="289">
        <v>0</v>
      </c>
      <c r="F102" s="289">
        <v>0</v>
      </c>
      <c r="G102" s="289">
        <v>0</v>
      </c>
      <c r="H102" s="289">
        <v>0</v>
      </c>
      <c r="I102" s="289"/>
      <c r="J102" s="289"/>
      <c r="K102" s="266"/>
      <c r="L102" s="289">
        <v>0</v>
      </c>
      <c r="M102" s="289">
        <v>0</v>
      </c>
      <c r="N102" s="266">
        <f t="shared" si="45"/>
        <v>0</v>
      </c>
      <c r="O102" s="289"/>
      <c r="P102" s="289"/>
      <c r="Q102" s="289"/>
      <c r="R102" s="289"/>
    </row>
    <row r="103" spans="1:18" x14ac:dyDescent="0.25">
      <c r="A103" s="378" t="s">
        <v>197</v>
      </c>
      <c r="B103" s="289">
        <v>0</v>
      </c>
      <c r="C103" s="289">
        <f>130.18+1.32</f>
        <v>131.5</v>
      </c>
      <c r="D103" s="289">
        <v>67.12</v>
      </c>
      <c r="E103" s="289">
        <v>67.53</v>
      </c>
      <c r="F103" s="289">
        <f>67.25+0.68</f>
        <v>67.930000000000007</v>
      </c>
      <c r="G103" s="289">
        <f>67.65+0.68</f>
        <v>68.330000000000013</v>
      </c>
      <c r="H103" s="289">
        <v>68.739999999999995</v>
      </c>
      <c r="I103" s="289">
        <v>69.150000000000006</v>
      </c>
      <c r="J103" s="289">
        <f>264.97+68.87+91.33+0.7</f>
        <v>425.87</v>
      </c>
      <c r="K103" s="266">
        <v>69.989999999999995</v>
      </c>
      <c r="L103" s="289">
        <f>0.7+69.7</f>
        <v>70.400000000000006</v>
      </c>
      <c r="M103" s="289">
        <f>70.12+0.71</f>
        <v>70.83</v>
      </c>
      <c r="N103" s="266">
        <f t="shared" si="45"/>
        <v>1177.3899999999999</v>
      </c>
      <c r="O103" s="289"/>
      <c r="P103" s="289"/>
      <c r="Q103" s="289"/>
      <c r="R103" s="289"/>
    </row>
    <row r="104" spans="1:18" x14ac:dyDescent="0.25">
      <c r="A104" s="378" t="s">
        <v>198</v>
      </c>
      <c r="B104" s="289">
        <f>222+2.22</f>
        <v>224.22</v>
      </c>
      <c r="C104" s="289">
        <v>0</v>
      </c>
      <c r="D104" s="289">
        <v>975.04</v>
      </c>
      <c r="E104" s="289">
        <v>277.77</v>
      </c>
      <c r="F104" s="289">
        <v>0</v>
      </c>
      <c r="G104" s="289">
        <v>0</v>
      </c>
      <c r="H104" s="289">
        <f>261.82+2.64</f>
        <v>264.45999999999998</v>
      </c>
      <c r="I104" s="289">
        <v>0</v>
      </c>
      <c r="J104" s="289"/>
      <c r="K104" s="266"/>
      <c r="L104" s="289"/>
      <c r="M104" s="289"/>
      <c r="N104" s="289"/>
      <c r="O104" s="289"/>
      <c r="P104" s="289"/>
      <c r="Q104" s="289"/>
      <c r="R104" s="289"/>
    </row>
    <row r="105" spans="1:18" x14ac:dyDescent="0.25">
      <c r="A105" s="313"/>
      <c r="B105" s="290"/>
      <c r="C105" s="290"/>
      <c r="D105" s="290"/>
      <c r="E105" s="290"/>
      <c r="F105" s="290"/>
      <c r="G105" s="290"/>
      <c r="H105" s="290"/>
      <c r="I105" s="290"/>
      <c r="J105" s="290"/>
      <c r="K105" s="266"/>
      <c r="L105" s="290"/>
      <c r="M105" s="290"/>
      <c r="N105" s="290"/>
      <c r="O105" s="290"/>
      <c r="P105" s="290"/>
      <c r="Q105" s="290"/>
      <c r="R105" s="290"/>
    </row>
    <row r="106" spans="1:18" x14ac:dyDescent="0.25">
      <c r="A106" s="378" t="s">
        <v>308</v>
      </c>
      <c r="B106" s="289">
        <v>11</v>
      </c>
      <c r="C106" s="289">
        <v>33</v>
      </c>
      <c r="D106" s="289">
        <v>28</v>
      </c>
      <c r="E106" s="289">
        <v>21</v>
      </c>
      <c r="F106" s="289">
        <v>21</v>
      </c>
      <c r="G106" s="289">
        <v>21</v>
      </c>
      <c r="H106" s="289"/>
      <c r="I106" s="289"/>
      <c r="J106" s="289"/>
      <c r="K106" s="266"/>
      <c r="L106" s="289"/>
      <c r="M106" s="289"/>
      <c r="N106" s="289"/>
      <c r="O106" s="289"/>
      <c r="P106" s="289"/>
      <c r="Q106" s="289"/>
      <c r="R106" s="289"/>
    </row>
    <row r="107" spans="1:18" x14ac:dyDescent="0.25">
      <c r="A107" s="378" t="s">
        <v>211</v>
      </c>
      <c r="B107" s="289">
        <v>6</v>
      </c>
      <c r="C107" s="289">
        <v>22</v>
      </c>
      <c r="D107" s="289">
        <v>23</v>
      </c>
      <c r="E107" s="289">
        <v>13</v>
      </c>
      <c r="F107" s="289">
        <v>13</v>
      </c>
      <c r="G107" s="289">
        <v>13</v>
      </c>
      <c r="H107" s="289"/>
      <c r="I107" s="289"/>
      <c r="J107" s="289"/>
      <c r="K107" s="266"/>
      <c r="L107" s="289"/>
      <c r="M107" s="289"/>
      <c r="N107" s="289"/>
      <c r="O107" s="289"/>
      <c r="P107" s="289"/>
      <c r="Q107" s="289"/>
      <c r="R107" s="289"/>
    </row>
    <row r="108" spans="1:18" x14ac:dyDescent="0.25">
      <c r="A108" s="378" t="s">
        <v>212</v>
      </c>
      <c r="B108" s="289">
        <v>0</v>
      </c>
      <c r="C108" s="289"/>
      <c r="D108" s="289"/>
      <c r="E108" s="289"/>
      <c r="F108" s="289"/>
      <c r="G108" s="289"/>
      <c r="H108" s="290"/>
      <c r="I108" s="289"/>
      <c r="J108" s="290"/>
      <c r="K108" s="266"/>
      <c r="L108" s="289"/>
      <c r="M108" s="289"/>
      <c r="N108" s="289"/>
      <c r="O108" s="289"/>
      <c r="P108" s="289"/>
      <c r="Q108" s="289"/>
      <c r="R108" s="289"/>
    </row>
    <row r="109" spans="1:18" x14ac:dyDescent="0.25">
      <c r="A109" s="314" t="s">
        <v>213</v>
      </c>
      <c r="B109" s="315"/>
      <c r="C109" s="315"/>
      <c r="D109" s="315"/>
      <c r="E109" s="315"/>
      <c r="F109" s="315"/>
      <c r="G109" s="315"/>
      <c r="H109" s="315"/>
      <c r="I109" s="315"/>
      <c r="J109" s="315"/>
      <c r="K109" s="266"/>
      <c r="L109" s="315"/>
      <c r="M109" s="315"/>
      <c r="N109" s="315"/>
      <c r="O109" s="315"/>
      <c r="P109" s="315"/>
      <c r="Q109" s="315"/>
      <c r="R109" s="315"/>
    </row>
    <row r="110" spans="1:18" x14ac:dyDescent="0.25">
      <c r="A110" s="284" t="s">
        <v>214</v>
      </c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</row>
    <row r="111" spans="1:18" ht="15.75" x14ac:dyDescent="0.25">
      <c r="A111" s="274" t="s">
        <v>215</v>
      </c>
      <c r="B111" s="316">
        <f>+B112+B118</f>
        <v>1973</v>
      </c>
      <c r="C111" s="316">
        <f>+C112+C118</f>
        <v>1976</v>
      </c>
      <c r="D111" s="316">
        <f>+D112+D118</f>
        <v>1973</v>
      </c>
      <c r="E111" s="316">
        <f>+E112+E118</f>
        <v>1975</v>
      </c>
      <c r="F111" s="316">
        <f>F112+F118</f>
        <v>1983</v>
      </c>
      <c r="G111" s="316">
        <f>G112+G118</f>
        <v>1984</v>
      </c>
      <c r="H111" s="316">
        <f>H112+H118</f>
        <v>1997</v>
      </c>
      <c r="I111" s="316">
        <f>I112+I118</f>
        <v>2009</v>
      </c>
      <c r="J111" s="316">
        <f>J112+J118</f>
        <v>2021</v>
      </c>
      <c r="K111" s="316">
        <f t="shared" ref="K111:M111" si="46">K112+K118</f>
        <v>2021</v>
      </c>
      <c r="L111" s="316">
        <f t="shared" si="46"/>
        <v>2026</v>
      </c>
      <c r="M111" s="316">
        <f t="shared" si="46"/>
        <v>2031</v>
      </c>
      <c r="N111" s="316"/>
      <c r="O111" s="316"/>
      <c r="P111" s="316"/>
      <c r="Q111" s="316"/>
      <c r="R111" s="316"/>
    </row>
    <row r="112" spans="1:18" x14ac:dyDescent="0.25">
      <c r="A112" s="317" t="s">
        <v>216</v>
      </c>
      <c r="B112" s="318">
        <f>+B113+B114+B115+B116+B117</f>
        <v>1973</v>
      </c>
      <c r="C112" s="318">
        <f t="shared" ref="C112:M112" si="47">+C113+C114+C115+C116+C117</f>
        <v>1976</v>
      </c>
      <c r="D112" s="318">
        <f t="shared" si="47"/>
        <v>1973</v>
      </c>
      <c r="E112" s="318">
        <f t="shared" si="47"/>
        <v>1975</v>
      </c>
      <c r="F112" s="318">
        <f t="shared" si="47"/>
        <v>1983</v>
      </c>
      <c r="G112" s="318">
        <f t="shared" si="47"/>
        <v>1984</v>
      </c>
      <c r="H112" s="318">
        <f t="shared" si="47"/>
        <v>1997</v>
      </c>
      <c r="I112" s="318">
        <f t="shared" si="47"/>
        <v>2009</v>
      </c>
      <c r="J112" s="318">
        <f t="shared" si="47"/>
        <v>2021</v>
      </c>
      <c r="K112" s="318">
        <f t="shared" si="47"/>
        <v>2021</v>
      </c>
      <c r="L112" s="318">
        <f t="shared" si="47"/>
        <v>2026</v>
      </c>
      <c r="M112" s="318">
        <f t="shared" si="47"/>
        <v>2031</v>
      </c>
      <c r="N112" s="318"/>
      <c r="O112" s="318"/>
      <c r="P112" s="318"/>
      <c r="Q112" s="318"/>
      <c r="R112" s="318"/>
    </row>
    <row r="113" spans="1:18" x14ac:dyDescent="0.25">
      <c r="A113" s="377" t="s">
        <v>217</v>
      </c>
      <c r="B113" s="297">
        <v>1872</v>
      </c>
      <c r="C113" s="297">
        <v>1875</v>
      </c>
      <c r="D113" s="297">
        <v>1874</v>
      </c>
      <c r="E113" s="297">
        <v>1875</v>
      </c>
      <c r="F113" s="297">
        <v>1884</v>
      </c>
      <c r="G113" s="297">
        <v>1885</v>
      </c>
      <c r="H113" s="297">
        <v>1898</v>
      </c>
      <c r="I113" s="297">
        <v>1909</v>
      </c>
      <c r="J113" s="297">
        <v>1920</v>
      </c>
      <c r="K113" s="297">
        <v>1920</v>
      </c>
      <c r="L113" s="297">
        <v>1925</v>
      </c>
      <c r="M113" s="297">
        <v>1930</v>
      </c>
      <c r="N113" s="266">
        <v>1930</v>
      </c>
      <c r="O113" s="297"/>
      <c r="P113" s="297"/>
      <c r="Q113" s="297"/>
      <c r="R113" s="297"/>
    </row>
    <row r="114" spans="1:18" x14ac:dyDescent="0.25">
      <c r="A114" s="377" t="s">
        <v>218</v>
      </c>
      <c r="B114" s="297">
        <v>77</v>
      </c>
      <c r="C114" s="297">
        <v>77</v>
      </c>
      <c r="D114" s="297">
        <v>75</v>
      </c>
      <c r="E114" s="297">
        <v>76</v>
      </c>
      <c r="F114" s="297">
        <v>75</v>
      </c>
      <c r="G114" s="297">
        <v>75</v>
      </c>
      <c r="H114" s="297">
        <v>75</v>
      </c>
      <c r="I114" s="297">
        <v>76</v>
      </c>
      <c r="J114" s="297">
        <v>77</v>
      </c>
      <c r="K114" s="297">
        <v>77</v>
      </c>
      <c r="L114" s="297">
        <v>77</v>
      </c>
      <c r="M114" s="297">
        <v>77</v>
      </c>
      <c r="N114" s="266">
        <f t="shared" ref="N113:N117" si="48">SUM(B114:M114)</f>
        <v>914</v>
      </c>
      <c r="O114" s="297"/>
      <c r="P114" s="297"/>
      <c r="Q114" s="297"/>
      <c r="R114" s="297"/>
    </row>
    <row r="115" spans="1:18" x14ac:dyDescent="0.25">
      <c r="A115" s="377" t="s">
        <v>219</v>
      </c>
      <c r="B115" s="297">
        <v>0</v>
      </c>
      <c r="C115" s="297">
        <v>0</v>
      </c>
      <c r="D115" s="297">
        <v>0</v>
      </c>
      <c r="E115" s="297"/>
      <c r="F115" s="297">
        <v>0</v>
      </c>
      <c r="G115" s="297">
        <v>0</v>
      </c>
      <c r="H115" s="297"/>
      <c r="I115" s="297">
        <v>0</v>
      </c>
      <c r="J115" s="297">
        <v>0</v>
      </c>
      <c r="K115" s="297">
        <v>0</v>
      </c>
      <c r="L115" s="297">
        <v>0</v>
      </c>
      <c r="M115" s="297">
        <v>0</v>
      </c>
      <c r="N115" s="266">
        <f t="shared" si="48"/>
        <v>0</v>
      </c>
      <c r="O115" s="297"/>
      <c r="P115" s="297"/>
      <c r="Q115" s="297"/>
      <c r="R115" s="297"/>
    </row>
    <row r="116" spans="1:18" x14ac:dyDescent="0.25">
      <c r="A116" s="377" t="s">
        <v>220</v>
      </c>
      <c r="B116" s="297">
        <v>12</v>
      </c>
      <c r="C116" s="297">
        <v>12</v>
      </c>
      <c r="D116" s="297">
        <v>12</v>
      </c>
      <c r="E116" s="297">
        <v>12</v>
      </c>
      <c r="F116" s="297">
        <v>12</v>
      </c>
      <c r="G116" s="297">
        <v>12</v>
      </c>
      <c r="H116" s="297">
        <v>12</v>
      </c>
      <c r="I116" s="297">
        <v>12</v>
      </c>
      <c r="J116" s="297">
        <v>12</v>
      </c>
      <c r="K116" s="297">
        <v>12</v>
      </c>
      <c r="L116" s="297">
        <v>12</v>
      </c>
      <c r="M116" s="297">
        <v>12</v>
      </c>
      <c r="N116" s="266">
        <f t="shared" si="48"/>
        <v>144</v>
      </c>
      <c r="O116" s="297"/>
      <c r="P116" s="297"/>
      <c r="Q116" s="297"/>
      <c r="R116" s="297"/>
    </row>
    <row r="117" spans="1:18" x14ac:dyDescent="0.25">
      <c r="A117" s="377" t="s">
        <v>221</v>
      </c>
      <c r="B117" s="297">
        <v>12</v>
      </c>
      <c r="C117" s="297">
        <v>12</v>
      </c>
      <c r="D117" s="297">
        <v>12</v>
      </c>
      <c r="E117" s="297">
        <v>12</v>
      </c>
      <c r="F117" s="297">
        <v>12</v>
      </c>
      <c r="G117" s="297">
        <v>12</v>
      </c>
      <c r="H117" s="297">
        <v>12</v>
      </c>
      <c r="I117" s="297">
        <v>12</v>
      </c>
      <c r="J117" s="297">
        <v>12</v>
      </c>
      <c r="K117" s="297">
        <v>12</v>
      </c>
      <c r="L117" s="297">
        <v>12</v>
      </c>
      <c r="M117" s="297">
        <v>12</v>
      </c>
      <c r="N117" s="266">
        <f t="shared" si="48"/>
        <v>144</v>
      </c>
      <c r="O117" s="297"/>
      <c r="P117" s="297"/>
      <c r="Q117" s="297"/>
      <c r="R117" s="297"/>
    </row>
    <row r="118" spans="1:18" x14ac:dyDescent="0.25">
      <c r="A118" s="317" t="s">
        <v>222</v>
      </c>
      <c r="B118" s="318">
        <f>+B119+B120+B121+B122+B123</f>
        <v>0</v>
      </c>
      <c r="C118" s="318">
        <f t="shared" ref="C118:M118" si="49">+C119+C120+C121+C122+C123</f>
        <v>0</v>
      </c>
      <c r="D118" s="318">
        <f t="shared" si="49"/>
        <v>0</v>
      </c>
      <c r="E118" s="318">
        <f t="shared" si="49"/>
        <v>0</v>
      </c>
      <c r="F118" s="318">
        <f t="shared" si="49"/>
        <v>0</v>
      </c>
      <c r="G118" s="318">
        <f t="shared" si="49"/>
        <v>0</v>
      </c>
      <c r="H118" s="318">
        <f t="shared" si="49"/>
        <v>0</v>
      </c>
      <c r="I118" s="318">
        <f t="shared" si="49"/>
        <v>0</v>
      </c>
      <c r="J118" s="318">
        <f t="shared" si="49"/>
        <v>0</v>
      </c>
      <c r="K118" s="318">
        <f t="shared" si="49"/>
        <v>0</v>
      </c>
      <c r="L118" s="318">
        <f t="shared" si="49"/>
        <v>0</v>
      </c>
      <c r="M118" s="318">
        <f t="shared" si="49"/>
        <v>0</v>
      </c>
      <c r="N118" s="318"/>
      <c r="O118" s="318"/>
      <c r="P118" s="318"/>
      <c r="Q118" s="318"/>
      <c r="R118" s="318"/>
    </row>
    <row r="119" spans="1:18" x14ac:dyDescent="0.25">
      <c r="A119" s="377" t="s">
        <v>217</v>
      </c>
      <c r="B119" s="297">
        <v>0</v>
      </c>
      <c r="C119" s="297"/>
      <c r="D119" s="297"/>
      <c r="E119" s="297">
        <v>0</v>
      </c>
      <c r="F119" s="297"/>
      <c r="G119" s="297"/>
      <c r="H119" s="297">
        <v>0</v>
      </c>
      <c r="I119" s="297">
        <v>0</v>
      </c>
      <c r="J119" s="297"/>
      <c r="K119" s="297"/>
      <c r="L119" s="297"/>
      <c r="M119" s="297"/>
      <c r="N119" s="297"/>
      <c r="O119" s="297"/>
      <c r="P119" s="297"/>
      <c r="Q119" s="297"/>
      <c r="R119" s="297"/>
    </row>
    <row r="120" spans="1:18" x14ac:dyDescent="0.25">
      <c r="A120" s="379" t="s">
        <v>218</v>
      </c>
      <c r="B120" s="297">
        <v>0</v>
      </c>
      <c r="C120" s="297"/>
      <c r="D120" s="297"/>
      <c r="E120" s="297">
        <v>0</v>
      </c>
      <c r="F120" s="297"/>
      <c r="G120" s="297"/>
      <c r="H120" s="297">
        <v>0</v>
      </c>
      <c r="I120" s="297">
        <v>0</v>
      </c>
      <c r="J120" s="297"/>
      <c r="K120" s="297"/>
      <c r="L120" s="297"/>
      <c r="M120" s="297"/>
      <c r="N120" s="297"/>
      <c r="O120" s="297"/>
      <c r="P120" s="297"/>
      <c r="Q120" s="297"/>
      <c r="R120" s="297"/>
    </row>
    <row r="121" spans="1:18" x14ac:dyDescent="0.25">
      <c r="A121" s="377" t="s">
        <v>219</v>
      </c>
      <c r="B121" s="297">
        <v>0</v>
      </c>
      <c r="C121" s="297"/>
      <c r="D121" s="297"/>
      <c r="E121" s="297">
        <v>0</v>
      </c>
      <c r="F121" s="297"/>
      <c r="G121" s="297"/>
      <c r="H121" s="297">
        <v>0</v>
      </c>
      <c r="I121" s="297">
        <v>0</v>
      </c>
      <c r="J121" s="297"/>
      <c r="K121" s="297"/>
      <c r="L121" s="297"/>
      <c r="M121" s="297"/>
      <c r="N121" s="297"/>
      <c r="O121" s="297"/>
      <c r="P121" s="297"/>
      <c r="Q121" s="297"/>
      <c r="R121" s="297"/>
    </row>
    <row r="122" spans="1:18" x14ac:dyDescent="0.25">
      <c r="A122" s="377" t="s">
        <v>220</v>
      </c>
      <c r="B122" s="297">
        <v>0</v>
      </c>
      <c r="C122" s="297"/>
      <c r="D122" s="297"/>
      <c r="E122" s="297">
        <v>0</v>
      </c>
      <c r="F122" s="297"/>
      <c r="G122" s="297"/>
      <c r="H122" s="297">
        <v>0</v>
      </c>
      <c r="I122" s="297">
        <v>0</v>
      </c>
      <c r="J122" s="297"/>
      <c r="K122" s="297"/>
      <c r="L122" s="297"/>
      <c r="M122" s="297"/>
      <c r="N122" s="297"/>
      <c r="O122" s="297"/>
      <c r="P122" s="297"/>
      <c r="Q122" s="297"/>
      <c r="R122" s="297"/>
    </row>
    <row r="123" spans="1:18" x14ac:dyDescent="0.25">
      <c r="A123" s="377" t="s">
        <v>221</v>
      </c>
      <c r="B123" s="297">
        <v>0</v>
      </c>
      <c r="C123" s="297"/>
      <c r="D123" s="297"/>
      <c r="E123" s="297">
        <v>0</v>
      </c>
      <c r="F123" s="297"/>
      <c r="G123" s="297"/>
      <c r="H123" s="297">
        <v>0</v>
      </c>
      <c r="I123" s="297">
        <v>0</v>
      </c>
      <c r="J123" s="297"/>
      <c r="K123" s="297"/>
      <c r="L123" s="297"/>
      <c r="M123" s="297"/>
      <c r="N123" s="297"/>
      <c r="O123" s="297"/>
      <c r="P123" s="297"/>
      <c r="Q123" s="297"/>
      <c r="R123" s="297"/>
    </row>
    <row r="124" spans="1:18" ht="23.25" customHeight="1" x14ac:dyDescent="0.25">
      <c r="A124" s="382" t="s">
        <v>223</v>
      </c>
      <c r="B124" s="383" t="s">
        <v>186</v>
      </c>
      <c r="C124" s="383" t="s">
        <v>186</v>
      </c>
      <c r="D124" s="383" t="s">
        <v>186</v>
      </c>
      <c r="E124" s="383" t="s">
        <v>224</v>
      </c>
      <c r="F124" s="383" t="s">
        <v>186</v>
      </c>
      <c r="G124" s="383" t="s">
        <v>186</v>
      </c>
      <c r="H124" s="383" t="s">
        <v>186</v>
      </c>
      <c r="I124" s="383" t="s">
        <v>186</v>
      </c>
      <c r="J124" s="383" t="s">
        <v>186</v>
      </c>
      <c r="K124" s="383" t="s">
        <v>186</v>
      </c>
      <c r="L124" s="383" t="s">
        <v>186</v>
      </c>
      <c r="M124" s="383" t="s">
        <v>186</v>
      </c>
      <c r="N124" s="383"/>
      <c r="O124" s="297"/>
      <c r="P124" s="297"/>
      <c r="Q124" s="297"/>
      <c r="R124" s="297"/>
    </row>
    <row r="125" spans="1:18" ht="15.75" customHeight="1" x14ac:dyDescent="0.25">
      <c r="A125" s="319"/>
      <c r="B125" s="320"/>
      <c r="C125" s="320"/>
      <c r="D125" s="320"/>
      <c r="E125" s="320"/>
      <c r="F125" s="320"/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</row>
    <row r="126" spans="1:18" ht="19.5" customHeight="1" x14ac:dyDescent="0.25">
      <c r="A126" s="384" t="s">
        <v>225</v>
      </c>
      <c r="B126" s="321"/>
      <c r="C126" s="321"/>
      <c r="D126" s="321"/>
      <c r="E126" s="321"/>
      <c r="F126" s="321"/>
      <c r="G126" s="321"/>
      <c r="H126" s="321"/>
      <c r="I126" s="321"/>
      <c r="J126" s="321"/>
      <c r="K126" s="321"/>
      <c r="L126" s="321"/>
      <c r="M126" s="321"/>
      <c r="N126" s="321"/>
      <c r="O126" s="321"/>
      <c r="P126" s="321"/>
      <c r="Q126" s="321"/>
      <c r="R126" s="321"/>
    </row>
    <row r="127" spans="1:18" ht="19.5" customHeight="1" x14ac:dyDescent="0.25">
      <c r="A127" s="301" t="s">
        <v>326</v>
      </c>
      <c r="B127" s="403">
        <f>+B126/B111</f>
        <v>0</v>
      </c>
      <c r="C127" s="403">
        <f t="shared" ref="C127:M127" si="50">+C126/C111</f>
        <v>0</v>
      </c>
      <c r="D127" s="403">
        <f t="shared" si="50"/>
        <v>0</v>
      </c>
      <c r="E127" s="403">
        <f t="shared" si="50"/>
        <v>0</v>
      </c>
      <c r="F127" s="403">
        <f t="shared" si="50"/>
        <v>0</v>
      </c>
      <c r="G127" s="403">
        <f t="shared" si="50"/>
        <v>0</v>
      </c>
      <c r="H127" s="403">
        <f t="shared" si="50"/>
        <v>0</v>
      </c>
      <c r="I127" s="403">
        <f t="shared" si="50"/>
        <v>0</v>
      </c>
      <c r="J127" s="403">
        <f t="shared" si="50"/>
        <v>0</v>
      </c>
      <c r="K127" s="403">
        <f t="shared" si="50"/>
        <v>0</v>
      </c>
      <c r="L127" s="403">
        <f t="shared" si="50"/>
        <v>0</v>
      </c>
      <c r="M127" s="403">
        <f t="shared" si="50"/>
        <v>0</v>
      </c>
      <c r="N127" s="321"/>
      <c r="O127" s="321"/>
      <c r="P127" s="321"/>
      <c r="Q127" s="321"/>
      <c r="R127" s="321"/>
    </row>
    <row r="128" spans="1:18" ht="19.5" customHeight="1" x14ac:dyDescent="0.25">
      <c r="A128" s="322"/>
      <c r="B128" s="323"/>
      <c r="C128" s="323"/>
      <c r="D128" s="350"/>
      <c r="E128" s="323"/>
      <c r="F128" s="323"/>
      <c r="G128" s="323"/>
      <c r="H128" s="32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</row>
    <row r="129" spans="1:18" ht="15" customHeight="1" x14ac:dyDescent="0.25">
      <c r="A129" s="284" t="s">
        <v>226</v>
      </c>
      <c r="B129" s="298"/>
      <c r="C129" s="298"/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</row>
    <row r="130" spans="1:18" ht="15.75" x14ac:dyDescent="0.25">
      <c r="A130" s="274" t="s">
        <v>227</v>
      </c>
      <c r="B130" s="275">
        <f>+B131+B135+B136</f>
        <v>2735247.09</v>
      </c>
      <c r="C130" s="275">
        <f>+C131+C135+C136</f>
        <v>2621369.84</v>
      </c>
      <c r="D130" s="275">
        <f t="shared" ref="D130:G130" si="51">+D131+D135+D136</f>
        <v>2622582.13</v>
      </c>
      <c r="E130" s="275">
        <f t="shared" si="51"/>
        <v>2704692.02</v>
      </c>
      <c r="F130" s="275">
        <f t="shared" si="51"/>
        <v>2622851.1399999997</v>
      </c>
      <c r="G130" s="275">
        <f t="shared" si="51"/>
        <v>2776830.75</v>
      </c>
      <c r="H130" s="275">
        <f>+H131+H135+H136</f>
        <v>2814039.1900000004</v>
      </c>
      <c r="I130" s="275">
        <f>+I131+I135+I136</f>
        <v>2804377.81</v>
      </c>
      <c r="J130" s="275">
        <f>+J131+J135+J136</f>
        <v>2839182.3200000003</v>
      </c>
      <c r="K130" s="275">
        <f t="shared" ref="K130:M130" si="52">+K131+K135+K136</f>
        <v>2848923.88</v>
      </c>
      <c r="L130" s="275">
        <f t="shared" si="52"/>
        <v>2850103.42</v>
      </c>
      <c r="M130" s="275">
        <f t="shared" si="52"/>
        <v>2800414.31</v>
      </c>
      <c r="N130" s="275"/>
      <c r="O130" s="275"/>
      <c r="P130" s="275"/>
      <c r="Q130" s="275"/>
      <c r="R130" s="275"/>
    </row>
    <row r="131" spans="1:18" x14ac:dyDescent="0.25">
      <c r="A131" s="317" t="s">
        <v>228</v>
      </c>
      <c r="B131" s="277">
        <f>+B132+B133+B134</f>
        <v>2303828.81</v>
      </c>
      <c r="C131" s="277">
        <f t="shared" ref="C131:F131" si="53">+C132+C133+C134</f>
        <v>2184602.2999999998</v>
      </c>
      <c r="D131" s="277">
        <f t="shared" si="53"/>
        <v>2180908.5699999998</v>
      </c>
      <c r="E131" s="277">
        <f t="shared" si="53"/>
        <v>2258051.2000000002</v>
      </c>
      <c r="F131" s="277">
        <f t="shared" si="53"/>
        <v>2169188.7199999997</v>
      </c>
      <c r="G131" s="277">
        <f t="shared" ref="G131" si="54">+G132+G133+G134</f>
        <v>2313381.9499999997</v>
      </c>
      <c r="H131" s="277">
        <f t="shared" ref="H131" si="55">+H132+H133+H134</f>
        <v>2334826.21</v>
      </c>
      <c r="I131" s="277">
        <f t="shared" ref="I131:J131" si="56">+I132+I133+I134</f>
        <v>2318045.2200000002</v>
      </c>
      <c r="J131" s="277">
        <f t="shared" si="56"/>
        <v>2342336.1</v>
      </c>
      <c r="K131" s="277">
        <f t="shared" ref="K131" si="57">+K132+K133+K134</f>
        <v>2352077.66</v>
      </c>
      <c r="L131" s="277">
        <f t="shared" ref="L131" si="58">+L132+L133+L134</f>
        <v>2348359.23</v>
      </c>
      <c r="M131" s="277">
        <f t="shared" ref="M131" si="59">+M132+M133+M134</f>
        <v>2288157.0700000003</v>
      </c>
      <c r="N131" s="277">
        <f t="shared" ref="N131:R131" si="60">N132+N136+N137</f>
        <v>2338615.54</v>
      </c>
      <c r="O131" s="277">
        <f t="shared" si="60"/>
        <v>0</v>
      </c>
      <c r="P131" s="277">
        <f t="shared" si="60"/>
        <v>0</v>
      </c>
      <c r="Q131" s="277">
        <f t="shared" si="60"/>
        <v>0</v>
      </c>
      <c r="R131" s="277">
        <f t="shared" si="60"/>
        <v>0</v>
      </c>
    </row>
    <row r="132" spans="1:18" x14ac:dyDescent="0.25">
      <c r="A132" s="377" t="s">
        <v>217</v>
      </c>
      <c r="B132" s="289">
        <v>2177494.11</v>
      </c>
      <c r="C132" s="289">
        <v>2094231.3</v>
      </c>
      <c r="D132" s="289">
        <v>2079598.06</v>
      </c>
      <c r="E132" s="289">
        <v>2148447.66</v>
      </c>
      <c r="F132" s="289">
        <v>2048643.69</v>
      </c>
      <c r="G132" s="289">
        <v>2179145.0699999998</v>
      </c>
      <c r="H132" s="289">
        <v>2231885.7599999998</v>
      </c>
      <c r="I132" s="289">
        <v>2219314.52</v>
      </c>
      <c r="J132" s="289">
        <v>2239058.73</v>
      </c>
      <c r="K132" s="289">
        <v>2248800.29</v>
      </c>
      <c r="L132" s="289">
        <v>2231930.14</v>
      </c>
      <c r="M132" s="289">
        <v>2170246.7400000002</v>
      </c>
      <c r="N132" s="266">
        <f>+M132</f>
        <v>2170246.7400000002</v>
      </c>
      <c r="O132" s="289">
        <f t="shared" ref="O132:R132" si="61">O133+O134+O135</f>
        <v>0</v>
      </c>
      <c r="P132" s="289">
        <f t="shared" si="61"/>
        <v>0</v>
      </c>
      <c r="Q132" s="289">
        <f t="shared" si="61"/>
        <v>0</v>
      </c>
      <c r="R132" s="289">
        <f t="shared" si="61"/>
        <v>0</v>
      </c>
    </row>
    <row r="133" spans="1:18" x14ac:dyDescent="0.25">
      <c r="A133" s="377" t="s">
        <v>218</v>
      </c>
      <c r="B133" s="289">
        <v>126334.7</v>
      </c>
      <c r="C133" s="289">
        <v>90371</v>
      </c>
      <c r="D133" s="289">
        <v>101310.51</v>
      </c>
      <c r="E133" s="289">
        <v>109603.54</v>
      </c>
      <c r="F133" s="289">
        <v>120545.03</v>
      </c>
      <c r="G133" s="289">
        <v>134236.88</v>
      </c>
      <c r="H133" s="289">
        <v>102940.45</v>
      </c>
      <c r="I133" s="289">
        <v>98730.7</v>
      </c>
      <c r="J133" s="289">
        <v>103277.37</v>
      </c>
      <c r="K133" s="289">
        <v>103277.37</v>
      </c>
      <c r="L133" s="289">
        <v>116429.09</v>
      </c>
      <c r="M133" s="289">
        <v>117910.33</v>
      </c>
      <c r="N133" s="266">
        <f>+M133</f>
        <v>117910.33</v>
      </c>
      <c r="O133" s="289"/>
      <c r="P133" s="289"/>
      <c r="Q133" s="289"/>
      <c r="R133" s="289"/>
    </row>
    <row r="134" spans="1:18" x14ac:dyDescent="0.25">
      <c r="A134" s="377" t="s">
        <v>219</v>
      </c>
      <c r="B134" s="289">
        <v>0</v>
      </c>
      <c r="C134" s="289">
        <v>0</v>
      </c>
      <c r="D134" s="289">
        <v>0</v>
      </c>
      <c r="E134" s="289">
        <v>0</v>
      </c>
      <c r="F134" s="289">
        <v>0</v>
      </c>
      <c r="G134" s="289">
        <v>0</v>
      </c>
      <c r="H134" s="289">
        <v>0</v>
      </c>
      <c r="I134" s="289">
        <v>0</v>
      </c>
      <c r="J134" s="289">
        <v>0</v>
      </c>
      <c r="K134" s="289">
        <v>0</v>
      </c>
      <c r="L134" s="289">
        <v>0</v>
      </c>
      <c r="M134" s="289">
        <v>0</v>
      </c>
      <c r="N134" s="266">
        <f t="shared" ref="N134:N136" si="62">+M134</f>
        <v>0</v>
      </c>
      <c r="O134" s="289"/>
      <c r="P134" s="289"/>
      <c r="Q134" s="289"/>
      <c r="R134" s="289"/>
    </row>
    <row r="135" spans="1:18" x14ac:dyDescent="0.25">
      <c r="A135" s="378" t="s">
        <v>229</v>
      </c>
      <c r="B135" s="289">
        <v>328134.88</v>
      </c>
      <c r="C135" s="289">
        <v>329214.09000000003</v>
      </c>
      <c r="D135" s="289">
        <v>330098.36</v>
      </c>
      <c r="E135" s="289">
        <v>331302.76</v>
      </c>
      <c r="F135" s="289">
        <v>332564.46000000002</v>
      </c>
      <c r="G135" s="289">
        <v>333729.64</v>
      </c>
      <c r="H135" s="289">
        <v>335470.28000000003</v>
      </c>
      <c r="I135" s="289">
        <v>337297.96</v>
      </c>
      <c r="J135" s="289">
        <v>339971.71</v>
      </c>
      <c r="K135" s="289">
        <v>339971.71</v>
      </c>
      <c r="L135" s="289">
        <v>341334.7</v>
      </c>
      <c r="M135" s="289">
        <v>343888.44</v>
      </c>
      <c r="N135" s="266">
        <f t="shared" si="62"/>
        <v>343888.44</v>
      </c>
      <c r="O135" s="289"/>
      <c r="P135" s="289"/>
      <c r="Q135" s="289"/>
      <c r="R135" s="289"/>
    </row>
    <row r="136" spans="1:18" x14ac:dyDescent="0.25">
      <c r="A136" s="378" t="s">
        <v>230</v>
      </c>
      <c r="B136" s="289">
        <v>103283.4</v>
      </c>
      <c r="C136" s="289">
        <v>107553.45</v>
      </c>
      <c r="D136" s="289">
        <v>111575.2</v>
      </c>
      <c r="E136" s="289">
        <v>115338.06</v>
      </c>
      <c r="F136" s="289">
        <v>121097.96</v>
      </c>
      <c r="G136" s="289">
        <v>129719.16</v>
      </c>
      <c r="H136" s="289">
        <v>143742.70000000001</v>
      </c>
      <c r="I136" s="289">
        <v>149034.63</v>
      </c>
      <c r="J136" s="289">
        <v>156874.51</v>
      </c>
      <c r="K136" s="289">
        <v>156874.51</v>
      </c>
      <c r="L136" s="289">
        <v>160409.49</v>
      </c>
      <c r="M136" s="289">
        <v>168368.8</v>
      </c>
      <c r="N136" s="266">
        <f t="shared" si="62"/>
        <v>168368.8</v>
      </c>
      <c r="O136" s="289"/>
      <c r="P136" s="289"/>
      <c r="Q136" s="289"/>
      <c r="R136" s="289"/>
    </row>
    <row r="137" spans="1:18" x14ac:dyDescent="0.25">
      <c r="A137" s="271"/>
      <c r="B137" s="266"/>
      <c r="C137" s="266"/>
      <c r="D137" s="266"/>
      <c r="E137" s="266"/>
      <c r="F137" s="266"/>
      <c r="G137" s="266"/>
      <c r="H137" s="266"/>
      <c r="I137" s="266"/>
      <c r="J137" s="266"/>
      <c r="K137" s="266"/>
      <c r="L137" s="266"/>
      <c r="M137" s="266"/>
      <c r="N137" s="266"/>
      <c r="O137" s="266"/>
      <c r="P137" s="266"/>
      <c r="Q137" s="266"/>
      <c r="R137" s="266"/>
    </row>
    <row r="138" spans="1:18" x14ac:dyDescent="0.25">
      <c r="A138" s="317" t="s">
        <v>231</v>
      </c>
      <c r="B138" s="318">
        <f t="shared" ref="B138:N138" si="63">+B139+B140+B141+B142</f>
        <v>756</v>
      </c>
      <c r="C138" s="318">
        <f t="shared" si="63"/>
        <v>843</v>
      </c>
      <c r="D138" s="318">
        <f t="shared" si="63"/>
        <v>867</v>
      </c>
      <c r="E138" s="318">
        <f t="shared" si="63"/>
        <v>942</v>
      </c>
      <c r="F138" s="318">
        <f t="shared" si="63"/>
        <v>795</v>
      </c>
      <c r="G138" s="318">
        <f t="shared" si="63"/>
        <v>923</v>
      </c>
      <c r="H138" s="318">
        <f t="shared" si="63"/>
        <v>999</v>
      </c>
      <c r="I138" s="318">
        <f t="shared" si="63"/>
        <v>868</v>
      </c>
      <c r="J138" s="318">
        <f t="shared" si="63"/>
        <v>938</v>
      </c>
      <c r="K138" s="318">
        <f t="shared" si="63"/>
        <v>950</v>
      </c>
      <c r="L138" s="318">
        <f t="shared" si="63"/>
        <v>941</v>
      </c>
      <c r="M138" s="318">
        <f t="shared" si="63"/>
        <v>884</v>
      </c>
      <c r="N138" s="318">
        <f t="shared" si="63"/>
        <v>884</v>
      </c>
      <c r="O138" s="277"/>
      <c r="P138" s="277"/>
      <c r="Q138" s="277"/>
      <c r="R138" s="277"/>
    </row>
    <row r="139" spans="1:18" ht="14.25" customHeight="1" x14ac:dyDescent="0.25">
      <c r="A139" s="378" t="s">
        <v>232</v>
      </c>
      <c r="B139" s="297">
        <v>364</v>
      </c>
      <c r="C139" s="297">
        <v>371</v>
      </c>
      <c r="D139" s="297">
        <v>401</v>
      </c>
      <c r="E139" s="297">
        <v>470</v>
      </c>
      <c r="F139" s="297">
        <v>350</v>
      </c>
      <c r="G139" s="297">
        <v>452</v>
      </c>
      <c r="H139" s="297">
        <v>515</v>
      </c>
      <c r="I139" s="297">
        <v>390</v>
      </c>
      <c r="J139" s="297">
        <v>488</v>
      </c>
      <c r="K139" s="297">
        <v>451</v>
      </c>
      <c r="L139" s="297">
        <v>443</v>
      </c>
      <c r="M139" s="297">
        <v>420</v>
      </c>
      <c r="N139" s="297">
        <f>+M139</f>
        <v>420</v>
      </c>
      <c r="O139" s="297"/>
      <c r="P139" s="297"/>
      <c r="Q139" s="297"/>
      <c r="R139" s="297"/>
    </row>
    <row r="140" spans="1:18" ht="15" customHeight="1" x14ac:dyDescent="0.25">
      <c r="A140" s="378" t="s">
        <v>233</v>
      </c>
      <c r="B140" s="297">
        <v>74</v>
      </c>
      <c r="C140" s="297">
        <v>69</v>
      </c>
      <c r="D140" s="297">
        <v>71</v>
      </c>
      <c r="E140" s="297">
        <v>73</v>
      </c>
      <c r="F140" s="297">
        <v>68</v>
      </c>
      <c r="G140" s="297">
        <v>74</v>
      </c>
      <c r="H140" s="297">
        <v>78</v>
      </c>
      <c r="I140" s="297">
        <v>83</v>
      </c>
      <c r="J140" s="297">
        <v>69</v>
      </c>
      <c r="K140" s="297">
        <v>82</v>
      </c>
      <c r="L140" s="297">
        <v>81</v>
      </c>
      <c r="M140" s="297">
        <v>73</v>
      </c>
      <c r="N140" s="297">
        <f t="shared" ref="N140:N142" si="64">+M140</f>
        <v>73</v>
      </c>
      <c r="O140" s="297"/>
      <c r="P140" s="297"/>
      <c r="Q140" s="297"/>
      <c r="R140" s="297"/>
    </row>
    <row r="141" spans="1:18" x14ac:dyDescent="0.25">
      <c r="A141" s="378" t="s">
        <v>234</v>
      </c>
      <c r="B141" s="297">
        <v>106</v>
      </c>
      <c r="C141" s="297">
        <v>108</v>
      </c>
      <c r="D141" s="297">
        <v>98</v>
      </c>
      <c r="E141" s="297">
        <v>94</v>
      </c>
      <c r="F141" s="297">
        <v>90</v>
      </c>
      <c r="G141" s="297">
        <v>91</v>
      </c>
      <c r="H141" s="297">
        <v>99</v>
      </c>
      <c r="I141" s="297">
        <v>98</v>
      </c>
      <c r="J141" s="297">
        <v>98</v>
      </c>
      <c r="K141" s="297">
        <v>112</v>
      </c>
      <c r="L141" s="297">
        <v>112</v>
      </c>
      <c r="M141" s="297">
        <v>99</v>
      </c>
      <c r="N141" s="297">
        <f t="shared" si="64"/>
        <v>99</v>
      </c>
      <c r="O141" s="297"/>
      <c r="P141" s="297"/>
      <c r="Q141" s="297"/>
      <c r="R141" s="297"/>
    </row>
    <row r="142" spans="1:18" ht="15" customHeight="1" x14ac:dyDescent="0.25">
      <c r="A142" s="378" t="s">
        <v>235</v>
      </c>
      <c r="B142" s="297">
        <f>59+153</f>
        <v>212</v>
      </c>
      <c r="C142" s="297">
        <f>52+243</f>
        <v>295</v>
      </c>
      <c r="D142" s="297">
        <f>62+235</f>
        <v>297</v>
      </c>
      <c r="E142" s="297">
        <f>235+70</f>
        <v>305</v>
      </c>
      <c r="F142" s="297">
        <f>56+231</f>
        <v>287</v>
      </c>
      <c r="G142" s="297">
        <f>66+240</f>
        <v>306</v>
      </c>
      <c r="H142" s="297">
        <f>69+238</f>
        <v>307</v>
      </c>
      <c r="I142" s="297">
        <f>70+227</f>
        <v>297</v>
      </c>
      <c r="J142" s="297">
        <f>62+221</f>
        <v>283</v>
      </c>
      <c r="K142" s="297">
        <f>72+233</f>
        <v>305</v>
      </c>
      <c r="L142" s="297">
        <f>237+68</f>
        <v>305</v>
      </c>
      <c r="M142" s="297">
        <f>56+236</f>
        <v>292</v>
      </c>
      <c r="N142" s="297">
        <f t="shared" si="64"/>
        <v>292</v>
      </c>
      <c r="O142" s="297"/>
      <c r="P142" s="297"/>
      <c r="Q142" s="297"/>
      <c r="R142" s="297"/>
    </row>
    <row r="143" spans="1:18" x14ac:dyDescent="0.25">
      <c r="A143" s="271"/>
      <c r="B143" s="266"/>
      <c r="C143" s="266"/>
      <c r="D143" s="266"/>
      <c r="E143" s="266"/>
      <c r="F143" s="266"/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Q143" s="266"/>
      <c r="R143" s="266"/>
    </row>
    <row r="144" spans="1:18" x14ac:dyDescent="0.25">
      <c r="A144" s="271" t="s">
        <v>236</v>
      </c>
      <c r="B144" s="289"/>
      <c r="C144" s="289"/>
      <c r="D144" s="289"/>
      <c r="E144" s="289"/>
      <c r="F144" s="289"/>
      <c r="G144" s="289"/>
      <c r="H144" s="289"/>
      <c r="I144" s="289"/>
      <c r="J144" s="289"/>
      <c r="K144" s="289"/>
      <c r="L144" s="289"/>
      <c r="M144" s="289"/>
      <c r="N144" s="289"/>
      <c r="O144" s="289"/>
      <c r="P144" s="289"/>
      <c r="Q144" s="289"/>
      <c r="R144" s="289"/>
    </row>
    <row r="145" spans="1:18" ht="15" customHeight="1" x14ac:dyDescent="0.25">
      <c r="A145" s="378" t="s">
        <v>237</v>
      </c>
      <c r="B145" s="289"/>
      <c r="C145" s="289"/>
      <c r="D145" s="289"/>
      <c r="E145" s="289"/>
      <c r="F145" s="289"/>
      <c r="G145" s="289"/>
      <c r="H145" s="289"/>
      <c r="I145" s="289"/>
      <c r="J145" s="289"/>
      <c r="K145" s="289"/>
      <c r="L145" s="289"/>
      <c r="M145" s="289"/>
      <c r="N145" s="289"/>
      <c r="O145" s="289"/>
      <c r="P145" s="289"/>
      <c r="Q145" s="289"/>
      <c r="R145" s="289"/>
    </row>
    <row r="146" spans="1:18" ht="15" customHeight="1" x14ac:dyDescent="0.25">
      <c r="A146" s="378" t="s">
        <v>238</v>
      </c>
      <c r="B146" s="289"/>
      <c r="C146" s="289"/>
      <c r="D146" s="289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289"/>
    </row>
    <row r="147" spans="1:18" ht="14.25" customHeight="1" x14ac:dyDescent="0.25">
      <c r="A147" s="378" t="s">
        <v>239</v>
      </c>
      <c r="B147" s="289"/>
      <c r="C147" s="289"/>
      <c r="D147" s="289"/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  <c r="O147" s="289"/>
      <c r="P147" s="289"/>
      <c r="Q147" s="289"/>
      <c r="R147" s="289"/>
    </row>
    <row r="148" spans="1:18" x14ac:dyDescent="0.25">
      <c r="A148" s="380" t="s">
        <v>240</v>
      </c>
      <c r="B148" s="289"/>
      <c r="C148" s="289"/>
      <c r="D148" s="289"/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289"/>
    </row>
    <row r="149" spans="1:18" ht="14.25" customHeight="1" x14ac:dyDescent="0.25">
      <c r="A149" s="305"/>
      <c r="B149" s="324"/>
      <c r="C149" s="324"/>
      <c r="D149" s="324"/>
      <c r="E149" s="324"/>
      <c r="F149" s="324"/>
      <c r="G149" s="324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</row>
    <row r="150" spans="1:18" x14ac:dyDescent="0.25">
      <c r="A150" s="325" t="s">
        <v>213</v>
      </c>
      <c r="B150" s="326"/>
      <c r="C150" s="326"/>
      <c r="D150" s="326"/>
      <c r="E150" s="326"/>
      <c r="F150" s="326"/>
      <c r="G150" s="326"/>
      <c r="H150" s="326"/>
      <c r="I150" s="326"/>
      <c r="J150" s="324"/>
      <c r="K150" s="324"/>
      <c r="L150" s="326"/>
      <c r="M150" s="326"/>
      <c r="N150" s="326"/>
      <c r="O150" s="326"/>
      <c r="P150" s="326"/>
      <c r="Q150" s="326"/>
      <c r="R150" s="326"/>
    </row>
    <row r="151" spans="1:18" x14ac:dyDescent="0.25">
      <c r="A151" s="284" t="s">
        <v>241</v>
      </c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  <c r="L151" s="318"/>
      <c r="M151" s="318"/>
      <c r="N151" s="318"/>
      <c r="O151" s="318"/>
      <c r="P151" s="318"/>
      <c r="Q151" s="318"/>
      <c r="R151" s="318"/>
    </row>
    <row r="152" spans="1:18" x14ac:dyDescent="0.25">
      <c r="A152" s="293" t="s">
        <v>241</v>
      </c>
      <c r="B152" s="294">
        <f t="shared" ref="B152:E152" si="65">+B154/B153</f>
        <v>1</v>
      </c>
      <c r="C152" s="294">
        <f t="shared" si="65"/>
        <v>1</v>
      </c>
      <c r="D152" s="294">
        <f t="shared" si="65"/>
        <v>1</v>
      </c>
      <c r="E152" s="294">
        <f t="shared" si="65"/>
        <v>1</v>
      </c>
      <c r="F152" s="294">
        <f t="shared" ref="F152:G152" si="66">+F154/F153</f>
        <v>1</v>
      </c>
      <c r="G152" s="294">
        <f t="shared" si="66"/>
        <v>1</v>
      </c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</row>
    <row r="153" spans="1:18" x14ac:dyDescent="0.25">
      <c r="A153" s="380" t="s">
        <v>242</v>
      </c>
      <c r="B153" s="297">
        <v>2245</v>
      </c>
      <c r="C153" s="297">
        <v>2245</v>
      </c>
      <c r="D153" s="297">
        <v>2245</v>
      </c>
      <c r="E153" s="297">
        <v>2245</v>
      </c>
      <c r="F153" s="297">
        <v>2245</v>
      </c>
      <c r="G153" s="297">
        <v>2245</v>
      </c>
      <c r="H153" s="297">
        <v>2245</v>
      </c>
      <c r="I153" s="297">
        <v>2245</v>
      </c>
      <c r="J153" s="297">
        <v>2245</v>
      </c>
      <c r="K153" s="297">
        <v>2245</v>
      </c>
      <c r="L153" s="297">
        <v>2245</v>
      </c>
      <c r="M153" s="297">
        <v>2245</v>
      </c>
      <c r="N153" s="297"/>
      <c r="O153" s="297"/>
      <c r="P153" s="297"/>
      <c r="Q153" s="297"/>
      <c r="R153" s="297"/>
    </row>
    <row r="154" spans="1:18" x14ac:dyDescent="0.25">
      <c r="A154" s="380" t="s">
        <v>243</v>
      </c>
      <c r="B154" s="297">
        <v>2245</v>
      </c>
      <c r="C154" s="297">
        <v>2245</v>
      </c>
      <c r="D154" s="297">
        <v>2245</v>
      </c>
      <c r="E154" s="297">
        <v>2245</v>
      </c>
      <c r="F154" s="297">
        <v>2245</v>
      </c>
      <c r="G154" s="297">
        <v>2245</v>
      </c>
      <c r="H154" s="297">
        <v>2245</v>
      </c>
      <c r="I154" s="297">
        <v>2245</v>
      </c>
      <c r="J154" s="297">
        <v>2245</v>
      </c>
      <c r="K154" s="297">
        <v>2245</v>
      </c>
      <c r="L154" s="297">
        <v>2245</v>
      </c>
      <c r="M154" s="297">
        <v>2245</v>
      </c>
      <c r="N154" s="297"/>
      <c r="O154" s="297"/>
      <c r="P154" s="297"/>
      <c r="Q154" s="297"/>
      <c r="R154" s="297"/>
    </row>
    <row r="155" spans="1:18" x14ac:dyDescent="0.25">
      <c r="A155" s="380" t="s">
        <v>244</v>
      </c>
      <c r="B155" s="297">
        <v>2000</v>
      </c>
      <c r="C155" s="297">
        <v>2000</v>
      </c>
      <c r="D155" s="297">
        <v>2000</v>
      </c>
      <c r="E155" s="297">
        <v>2000</v>
      </c>
      <c r="F155" s="297">
        <v>2000</v>
      </c>
      <c r="G155" s="297">
        <v>2000</v>
      </c>
      <c r="H155" s="297">
        <v>2000</v>
      </c>
      <c r="I155" s="297">
        <v>2000</v>
      </c>
      <c r="J155" s="297">
        <v>2000</v>
      </c>
      <c r="K155" s="297">
        <v>2000</v>
      </c>
      <c r="L155" s="297">
        <v>2000</v>
      </c>
      <c r="M155" s="297">
        <v>2000</v>
      </c>
      <c r="N155" s="297"/>
      <c r="O155" s="297"/>
      <c r="P155" s="297"/>
      <c r="Q155" s="297"/>
      <c r="R155" s="297"/>
    </row>
    <row r="156" spans="1:18" x14ac:dyDescent="0.25">
      <c r="A156" s="380" t="s">
        <v>245</v>
      </c>
      <c r="B156" s="297">
        <v>0</v>
      </c>
      <c r="C156" s="297">
        <v>0</v>
      </c>
      <c r="D156" s="297">
        <v>0</v>
      </c>
      <c r="E156" s="297">
        <v>0</v>
      </c>
      <c r="F156" s="297">
        <v>0</v>
      </c>
      <c r="G156" s="297">
        <v>0</v>
      </c>
      <c r="H156" s="297">
        <v>0</v>
      </c>
      <c r="I156" s="297">
        <v>0</v>
      </c>
      <c r="J156" s="297">
        <v>0</v>
      </c>
      <c r="K156" s="297">
        <v>0</v>
      </c>
      <c r="L156" s="297">
        <v>0</v>
      </c>
      <c r="M156" s="297">
        <v>0</v>
      </c>
      <c r="N156" s="297"/>
      <c r="O156" s="297"/>
      <c r="P156" s="297"/>
      <c r="Q156" s="297"/>
      <c r="R156" s="297"/>
    </row>
    <row r="157" spans="1:18" x14ac:dyDescent="0.25">
      <c r="A157" s="380" t="s">
        <v>246</v>
      </c>
      <c r="B157" s="297">
        <v>0</v>
      </c>
      <c r="C157" s="297">
        <v>0</v>
      </c>
      <c r="D157" s="297">
        <v>0</v>
      </c>
      <c r="E157" s="297">
        <v>0</v>
      </c>
      <c r="F157" s="297">
        <v>0</v>
      </c>
      <c r="G157" s="297">
        <v>0</v>
      </c>
      <c r="H157" s="297">
        <v>0</v>
      </c>
      <c r="I157" s="297">
        <v>0</v>
      </c>
      <c r="J157" s="297">
        <v>0</v>
      </c>
      <c r="K157" s="297">
        <v>0</v>
      </c>
      <c r="L157" s="297">
        <v>0</v>
      </c>
      <c r="M157" s="297">
        <v>0</v>
      </c>
      <c r="N157" s="297"/>
      <c r="O157" s="297"/>
      <c r="P157" s="297"/>
      <c r="Q157" s="297"/>
      <c r="R157" s="297"/>
    </row>
    <row r="158" spans="1:18" x14ac:dyDescent="0.25">
      <c r="A158" s="380" t="s">
        <v>247</v>
      </c>
      <c r="B158" s="297">
        <v>1308</v>
      </c>
      <c r="C158" s="297">
        <v>1319</v>
      </c>
      <c r="D158" s="297">
        <v>1296</v>
      </c>
      <c r="E158" s="297">
        <v>1228</v>
      </c>
      <c r="F158" s="297">
        <v>1527</v>
      </c>
      <c r="G158" s="297">
        <v>1257</v>
      </c>
      <c r="H158" s="297">
        <v>1189</v>
      </c>
      <c r="I158" s="297">
        <v>1321</v>
      </c>
      <c r="J158" s="297">
        <v>1269</v>
      </c>
      <c r="K158" s="320">
        <v>1257</v>
      </c>
      <c r="L158" s="297">
        <v>1271</v>
      </c>
      <c r="M158" s="297">
        <v>1343</v>
      </c>
      <c r="N158" s="297"/>
      <c r="O158" s="297"/>
      <c r="P158" s="297"/>
      <c r="Q158" s="297"/>
      <c r="R158" s="297"/>
    </row>
    <row r="159" spans="1:18" x14ac:dyDescent="0.25">
      <c r="A159" s="380" t="s">
        <v>248</v>
      </c>
      <c r="B159" s="297">
        <v>306</v>
      </c>
      <c r="C159" s="297">
        <v>310</v>
      </c>
      <c r="D159" s="297">
        <v>311</v>
      </c>
      <c r="E159" s="297">
        <v>313</v>
      </c>
      <c r="F159" s="297">
        <v>316</v>
      </c>
      <c r="G159" s="297">
        <v>316</v>
      </c>
      <c r="H159" s="297">
        <v>318</v>
      </c>
      <c r="I159" s="297">
        <v>321</v>
      </c>
      <c r="J159" s="297">
        <v>331</v>
      </c>
      <c r="K159" s="320">
        <v>330</v>
      </c>
      <c r="L159" s="297">
        <v>336</v>
      </c>
      <c r="M159" s="297">
        <v>342</v>
      </c>
      <c r="N159" s="297"/>
      <c r="O159" s="297"/>
      <c r="P159" s="297"/>
      <c r="Q159" s="297"/>
      <c r="R159" s="297"/>
    </row>
    <row r="160" spans="1:18" x14ac:dyDescent="0.25">
      <c r="A160" s="380" t="s">
        <v>249</v>
      </c>
      <c r="B160" s="289">
        <v>10</v>
      </c>
      <c r="C160" s="289">
        <v>10</v>
      </c>
      <c r="D160" s="289">
        <v>10</v>
      </c>
      <c r="E160" s="289">
        <v>10</v>
      </c>
      <c r="F160" s="289">
        <v>10</v>
      </c>
      <c r="G160" s="289">
        <v>10</v>
      </c>
      <c r="H160" s="289">
        <v>10</v>
      </c>
      <c r="I160" s="289">
        <v>10</v>
      </c>
      <c r="J160" s="289">
        <v>10</v>
      </c>
      <c r="K160" s="289">
        <v>10</v>
      </c>
      <c r="L160" s="289">
        <v>10</v>
      </c>
      <c r="M160" s="289">
        <v>10</v>
      </c>
      <c r="N160" s="297"/>
      <c r="O160" s="297"/>
      <c r="P160" s="297"/>
      <c r="Q160" s="297"/>
      <c r="R160" s="297"/>
    </row>
    <row r="161" spans="1:18" x14ac:dyDescent="0.25">
      <c r="A161" s="380" t="s">
        <v>250</v>
      </c>
      <c r="B161" s="289">
        <v>12</v>
      </c>
      <c r="C161" s="289">
        <v>12</v>
      </c>
      <c r="D161" s="289">
        <v>12</v>
      </c>
      <c r="E161" s="289">
        <v>12</v>
      </c>
      <c r="F161" s="289">
        <v>12</v>
      </c>
      <c r="G161" s="289">
        <v>12</v>
      </c>
      <c r="H161" s="289">
        <v>12</v>
      </c>
      <c r="I161" s="289">
        <v>12</v>
      </c>
      <c r="J161" s="289">
        <v>12</v>
      </c>
      <c r="K161" s="289">
        <v>12</v>
      </c>
      <c r="L161" s="289">
        <v>12</v>
      </c>
      <c r="M161" s="289">
        <v>12</v>
      </c>
      <c r="N161" s="297"/>
      <c r="O161" s="297"/>
      <c r="P161" s="297"/>
      <c r="Q161" s="297"/>
      <c r="R161" s="297"/>
    </row>
    <row r="162" spans="1:18" x14ac:dyDescent="0.25">
      <c r="A162" s="380" t="s">
        <v>251</v>
      </c>
      <c r="B162" s="289">
        <v>14</v>
      </c>
      <c r="C162" s="289">
        <v>14</v>
      </c>
      <c r="D162" s="289">
        <v>14</v>
      </c>
      <c r="E162" s="289">
        <v>14</v>
      </c>
      <c r="F162" s="289">
        <v>14</v>
      </c>
      <c r="G162" s="289">
        <v>14</v>
      </c>
      <c r="H162" s="289">
        <v>14</v>
      </c>
      <c r="I162" s="289">
        <v>14</v>
      </c>
      <c r="J162" s="289">
        <v>14</v>
      </c>
      <c r="K162" s="289">
        <v>14</v>
      </c>
      <c r="L162" s="289">
        <v>14</v>
      </c>
      <c r="M162" s="289">
        <v>14</v>
      </c>
      <c r="N162" s="297"/>
      <c r="O162" s="297"/>
      <c r="P162" s="297"/>
      <c r="Q162" s="297"/>
      <c r="R162" s="297"/>
    </row>
    <row r="163" spans="1:18" x14ac:dyDescent="0.25">
      <c r="A163" s="380" t="s">
        <v>252</v>
      </c>
      <c r="B163" s="289">
        <v>38</v>
      </c>
      <c r="C163" s="289">
        <v>38</v>
      </c>
      <c r="D163" s="289">
        <v>38</v>
      </c>
      <c r="E163" s="289">
        <v>38</v>
      </c>
      <c r="F163" s="289">
        <v>38</v>
      </c>
      <c r="G163" s="289">
        <v>38</v>
      </c>
      <c r="H163" s="289">
        <v>38</v>
      </c>
      <c r="I163" s="289">
        <v>38</v>
      </c>
      <c r="J163" s="289">
        <v>38</v>
      </c>
      <c r="K163" s="289">
        <v>38</v>
      </c>
      <c r="L163" s="289">
        <v>38</v>
      </c>
      <c r="M163" s="289">
        <v>38</v>
      </c>
      <c r="N163" s="297"/>
      <c r="O163" s="297"/>
      <c r="P163" s="297"/>
      <c r="Q163" s="297"/>
      <c r="R163" s="297"/>
    </row>
    <row r="164" spans="1:18" x14ac:dyDescent="0.25">
      <c r="A164" s="380" t="s">
        <v>253</v>
      </c>
      <c r="B164" s="297">
        <v>0</v>
      </c>
      <c r="C164" s="297">
        <v>0</v>
      </c>
      <c r="D164" s="297">
        <v>0</v>
      </c>
      <c r="E164" s="297">
        <v>0</v>
      </c>
      <c r="F164" s="297">
        <v>0</v>
      </c>
      <c r="G164" s="297">
        <v>0</v>
      </c>
      <c r="H164" s="297">
        <v>0</v>
      </c>
      <c r="I164" s="297">
        <v>0</v>
      </c>
      <c r="J164" s="297">
        <v>0</v>
      </c>
      <c r="K164" s="297">
        <v>0</v>
      </c>
      <c r="L164" s="297">
        <v>0</v>
      </c>
      <c r="M164" s="297">
        <v>0</v>
      </c>
      <c r="N164" s="327"/>
      <c r="O164" s="327"/>
      <c r="P164" s="327"/>
      <c r="Q164" s="327"/>
      <c r="R164" s="327"/>
    </row>
    <row r="165" spans="1:18" x14ac:dyDescent="0.25">
      <c r="A165" s="380" t="s">
        <v>254</v>
      </c>
      <c r="B165" s="297">
        <v>0</v>
      </c>
      <c r="C165" s="297">
        <v>0</v>
      </c>
      <c r="D165" s="297">
        <v>0</v>
      </c>
      <c r="E165" s="297">
        <v>0</v>
      </c>
      <c r="F165" s="297">
        <v>0</v>
      </c>
      <c r="G165" s="297">
        <v>0</v>
      </c>
      <c r="H165" s="297">
        <v>0</v>
      </c>
      <c r="I165" s="297">
        <v>0</v>
      </c>
      <c r="J165" s="297">
        <v>0</v>
      </c>
      <c r="K165" s="297">
        <v>0</v>
      </c>
      <c r="L165" s="297">
        <v>0</v>
      </c>
      <c r="M165" s="297">
        <v>0</v>
      </c>
      <c r="N165" s="289"/>
      <c r="O165" s="289"/>
      <c r="P165" s="289"/>
      <c r="Q165" s="289"/>
      <c r="R165" s="289"/>
    </row>
    <row r="166" spans="1:18" x14ac:dyDescent="0.25">
      <c r="A166" s="380" t="s">
        <v>255</v>
      </c>
      <c r="B166" s="328">
        <v>3</v>
      </c>
      <c r="C166" s="328">
        <v>4</v>
      </c>
      <c r="D166" s="328">
        <v>16</v>
      </c>
      <c r="E166" s="328">
        <v>6</v>
      </c>
      <c r="F166" s="328">
        <v>5</v>
      </c>
      <c r="G166" s="289">
        <v>5</v>
      </c>
      <c r="H166" s="289">
        <v>5</v>
      </c>
      <c r="I166" s="289">
        <v>3</v>
      </c>
      <c r="J166" s="289">
        <v>6</v>
      </c>
      <c r="K166" s="289">
        <v>5</v>
      </c>
      <c r="L166" s="289">
        <v>4</v>
      </c>
      <c r="M166" s="289">
        <v>0</v>
      </c>
      <c r="N166" s="289"/>
      <c r="O166" s="289"/>
      <c r="P166" s="289"/>
      <c r="Q166" s="289"/>
      <c r="R166" s="289"/>
    </row>
    <row r="167" spans="1:18" x14ac:dyDescent="0.25">
      <c r="A167" s="293" t="s">
        <v>256</v>
      </c>
      <c r="B167" s="297">
        <v>3</v>
      </c>
      <c r="C167" s="297">
        <v>2</v>
      </c>
      <c r="D167" s="297">
        <v>8</v>
      </c>
      <c r="E167" s="297">
        <v>4</v>
      </c>
      <c r="F167" s="297">
        <v>9</v>
      </c>
      <c r="G167" s="297">
        <v>1</v>
      </c>
      <c r="H167" s="297">
        <v>9</v>
      </c>
      <c r="I167" s="297">
        <v>6</v>
      </c>
      <c r="J167" s="297">
        <v>7</v>
      </c>
      <c r="K167" s="297">
        <v>13</v>
      </c>
      <c r="L167" s="297">
        <v>3</v>
      </c>
      <c r="M167" s="297">
        <v>9</v>
      </c>
      <c r="N167" s="297"/>
      <c r="O167" s="297"/>
      <c r="P167" s="297"/>
      <c r="Q167" s="297"/>
      <c r="R167" s="297"/>
    </row>
    <row r="168" spans="1:18" x14ac:dyDescent="0.25">
      <c r="A168" s="380" t="s">
        <v>257</v>
      </c>
      <c r="B168" s="297">
        <v>1910</v>
      </c>
      <c r="C168" s="297">
        <v>1916</v>
      </c>
      <c r="D168" s="297">
        <v>1916</v>
      </c>
      <c r="E168" s="297">
        <v>1916</v>
      </c>
      <c r="F168" s="297">
        <f>+E168+F167+F166</f>
        <v>1930</v>
      </c>
      <c r="G168" s="297">
        <v>1936</v>
      </c>
      <c r="H168" s="297">
        <f>+G168+H167+H166</f>
        <v>1950</v>
      </c>
      <c r="I168" s="297">
        <v>1956</v>
      </c>
      <c r="J168" s="297"/>
      <c r="K168" s="329"/>
      <c r="L168" s="297"/>
      <c r="M168" s="297"/>
      <c r="N168" s="297"/>
      <c r="O168" s="297"/>
      <c r="P168" s="297"/>
      <c r="Q168" s="297"/>
      <c r="R168" s="297"/>
    </row>
    <row r="169" spans="1:18" x14ac:dyDescent="0.25">
      <c r="A169" s="380" t="s">
        <v>258</v>
      </c>
      <c r="B169" s="328">
        <v>0</v>
      </c>
      <c r="C169" s="315"/>
      <c r="D169" s="315"/>
      <c r="E169" s="315"/>
      <c r="F169" s="315"/>
      <c r="G169" s="297"/>
      <c r="H169" s="297"/>
      <c r="I169" s="297"/>
      <c r="J169" s="297"/>
      <c r="K169" s="297"/>
      <c r="L169" s="297"/>
      <c r="M169" s="297"/>
      <c r="N169" s="297"/>
      <c r="O169" s="297"/>
      <c r="P169" s="297"/>
      <c r="Q169" s="297"/>
      <c r="R169" s="297"/>
    </row>
    <row r="170" spans="1:18" x14ac:dyDescent="0.25">
      <c r="A170" s="380" t="s">
        <v>259</v>
      </c>
      <c r="B170" s="297">
        <v>3</v>
      </c>
      <c r="C170" s="297">
        <v>3</v>
      </c>
      <c r="D170" s="297">
        <v>3</v>
      </c>
      <c r="E170" s="297">
        <v>3</v>
      </c>
      <c r="F170" s="297">
        <v>3</v>
      </c>
      <c r="G170" s="297">
        <v>3</v>
      </c>
      <c r="H170" s="297">
        <v>3</v>
      </c>
      <c r="I170" s="297">
        <v>3</v>
      </c>
      <c r="J170" s="297">
        <v>3</v>
      </c>
      <c r="K170" s="297">
        <v>3</v>
      </c>
      <c r="L170" s="297">
        <v>3</v>
      </c>
      <c r="M170" s="297">
        <v>3</v>
      </c>
      <c r="N170" s="297"/>
      <c r="O170" s="297"/>
      <c r="P170" s="297"/>
      <c r="Q170" s="297"/>
      <c r="R170" s="297"/>
    </row>
    <row r="171" spans="1:18" x14ac:dyDescent="0.25">
      <c r="A171" s="380" t="s">
        <v>260</v>
      </c>
      <c r="B171" s="297">
        <v>1</v>
      </c>
      <c r="C171" s="297">
        <v>1</v>
      </c>
      <c r="D171" s="297">
        <v>1</v>
      </c>
      <c r="E171" s="297">
        <v>1</v>
      </c>
      <c r="F171" s="297">
        <v>1</v>
      </c>
      <c r="G171" s="297">
        <v>1</v>
      </c>
      <c r="H171" s="297">
        <v>1</v>
      </c>
      <c r="I171" s="297">
        <v>1</v>
      </c>
      <c r="J171" s="297">
        <v>1</v>
      </c>
      <c r="K171" s="297">
        <v>1</v>
      </c>
      <c r="L171" s="297">
        <v>1</v>
      </c>
      <c r="M171" s="297">
        <v>1</v>
      </c>
      <c r="N171" s="297"/>
      <c r="O171" s="297"/>
      <c r="P171" s="297"/>
      <c r="Q171" s="297"/>
      <c r="R171" s="297"/>
    </row>
    <row r="172" spans="1:18" x14ac:dyDescent="0.25">
      <c r="A172" s="380" t="s">
        <v>261</v>
      </c>
      <c r="B172" s="297">
        <v>0</v>
      </c>
      <c r="C172" s="297">
        <v>0</v>
      </c>
      <c r="D172" s="297"/>
      <c r="E172" s="297"/>
      <c r="F172" s="297"/>
      <c r="G172" s="297"/>
      <c r="H172" s="297"/>
      <c r="I172" s="297"/>
      <c r="J172" s="297"/>
      <c r="K172" s="297"/>
      <c r="L172" s="297"/>
      <c r="M172" s="297"/>
      <c r="N172" s="297"/>
      <c r="O172" s="297"/>
      <c r="P172" s="297"/>
      <c r="Q172" s="297"/>
      <c r="R172" s="297"/>
    </row>
    <row r="173" spans="1:18" x14ac:dyDescent="0.25">
      <c r="A173" s="331" t="s">
        <v>262</v>
      </c>
      <c r="B173" s="321">
        <f t="shared" ref="B173:M173" si="67">+B174+B175+B176+B177+B178</f>
        <v>3</v>
      </c>
      <c r="C173" s="321">
        <f t="shared" si="67"/>
        <v>3</v>
      </c>
      <c r="D173" s="321">
        <f t="shared" si="67"/>
        <v>3</v>
      </c>
      <c r="E173" s="321">
        <f t="shared" si="67"/>
        <v>3</v>
      </c>
      <c r="F173" s="321">
        <f t="shared" si="67"/>
        <v>3</v>
      </c>
      <c r="G173" s="321">
        <f t="shared" si="67"/>
        <v>3</v>
      </c>
      <c r="H173" s="321">
        <f t="shared" si="67"/>
        <v>3</v>
      </c>
      <c r="I173" s="321">
        <f t="shared" si="67"/>
        <v>3</v>
      </c>
      <c r="J173" s="321">
        <f t="shared" si="67"/>
        <v>3</v>
      </c>
      <c r="K173" s="321">
        <f t="shared" si="67"/>
        <v>3</v>
      </c>
      <c r="L173" s="321">
        <f t="shared" si="67"/>
        <v>3</v>
      </c>
      <c r="M173" s="321">
        <f t="shared" si="67"/>
        <v>3</v>
      </c>
      <c r="N173" s="332"/>
      <c r="O173" s="332"/>
      <c r="P173" s="332"/>
      <c r="Q173" s="332"/>
      <c r="R173" s="332"/>
    </row>
    <row r="174" spans="1:18" x14ac:dyDescent="0.25">
      <c r="A174" s="380" t="s">
        <v>263</v>
      </c>
      <c r="B174" s="297">
        <v>3</v>
      </c>
      <c r="C174" s="297">
        <v>3</v>
      </c>
      <c r="D174" s="297">
        <v>3</v>
      </c>
      <c r="E174" s="297">
        <v>3</v>
      </c>
      <c r="F174" s="297">
        <v>3</v>
      </c>
      <c r="G174" s="297">
        <v>3</v>
      </c>
      <c r="H174" s="297">
        <v>3</v>
      </c>
      <c r="I174" s="297">
        <v>3</v>
      </c>
      <c r="J174" s="297">
        <v>3</v>
      </c>
      <c r="K174" s="297">
        <v>3</v>
      </c>
      <c r="L174" s="297">
        <v>3</v>
      </c>
      <c r="M174" s="297">
        <v>3</v>
      </c>
      <c r="N174" s="297"/>
      <c r="O174" s="297"/>
      <c r="P174" s="297"/>
      <c r="Q174" s="297"/>
      <c r="R174" s="297"/>
    </row>
    <row r="175" spans="1:18" x14ac:dyDescent="0.25">
      <c r="A175" s="380" t="s">
        <v>264</v>
      </c>
      <c r="B175" s="297">
        <v>0</v>
      </c>
      <c r="C175" s="297">
        <v>0</v>
      </c>
      <c r="D175" s="297">
        <v>0</v>
      </c>
      <c r="E175" s="297">
        <v>0</v>
      </c>
      <c r="F175" s="297">
        <v>0</v>
      </c>
      <c r="G175" s="297">
        <v>0</v>
      </c>
      <c r="H175" s="297">
        <v>0</v>
      </c>
      <c r="I175" s="297">
        <v>0</v>
      </c>
      <c r="J175" s="297">
        <v>0</v>
      </c>
      <c r="K175" s="297">
        <v>0</v>
      </c>
      <c r="L175" s="297">
        <v>0</v>
      </c>
      <c r="M175" s="297">
        <v>0</v>
      </c>
      <c r="N175" s="297"/>
      <c r="O175" s="297"/>
      <c r="P175" s="297"/>
      <c r="Q175" s="297"/>
      <c r="R175" s="297"/>
    </row>
    <row r="176" spans="1:18" x14ac:dyDescent="0.25">
      <c r="A176" s="380" t="s">
        <v>265</v>
      </c>
      <c r="B176" s="333">
        <v>0</v>
      </c>
      <c r="C176" s="333">
        <v>0</v>
      </c>
      <c r="D176" s="333">
        <v>0</v>
      </c>
      <c r="E176" s="333">
        <v>0</v>
      </c>
      <c r="F176" s="333">
        <v>0</v>
      </c>
      <c r="G176" s="333">
        <v>0</v>
      </c>
      <c r="H176" s="333">
        <v>0</v>
      </c>
      <c r="I176" s="333">
        <v>0</v>
      </c>
      <c r="J176" s="333">
        <v>0</v>
      </c>
      <c r="K176" s="333">
        <v>0</v>
      </c>
      <c r="L176" s="333">
        <v>0</v>
      </c>
      <c r="M176" s="333">
        <v>0</v>
      </c>
      <c r="N176" s="297"/>
      <c r="O176" s="297"/>
      <c r="P176" s="297"/>
      <c r="Q176" s="297"/>
      <c r="R176" s="297"/>
    </row>
    <row r="177" spans="1:18" x14ac:dyDescent="0.25">
      <c r="A177" s="380" t="s">
        <v>266</v>
      </c>
      <c r="B177" s="333">
        <v>0</v>
      </c>
      <c r="C177" s="333">
        <v>0</v>
      </c>
      <c r="D177" s="333">
        <v>0</v>
      </c>
      <c r="E177" s="333">
        <v>0</v>
      </c>
      <c r="F177" s="333">
        <v>0</v>
      </c>
      <c r="G177" s="333">
        <v>0</v>
      </c>
      <c r="H177" s="333">
        <v>0</v>
      </c>
      <c r="I177" s="333">
        <v>0</v>
      </c>
      <c r="J177" s="333">
        <v>0</v>
      </c>
      <c r="K177" s="333">
        <v>0</v>
      </c>
      <c r="L177" s="333">
        <v>0</v>
      </c>
      <c r="M177" s="333">
        <v>0</v>
      </c>
      <c r="N177" s="297"/>
      <c r="O177" s="297"/>
      <c r="P177" s="297"/>
      <c r="Q177" s="297"/>
      <c r="R177" s="297"/>
    </row>
    <row r="178" spans="1:18" x14ac:dyDescent="0.25">
      <c r="A178" s="380" t="s">
        <v>267</v>
      </c>
      <c r="B178" s="333">
        <v>0</v>
      </c>
      <c r="C178" s="333">
        <v>0</v>
      </c>
      <c r="D178" s="333">
        <v>0</v>
      </c>
      <c r="E178" s="333">
        <v>0</v>
      </c>
      <c r="F178" s="333">
        <v>0</v>
      </c>
      <c r="G178" s="333">
        <v>0</v>
      </c>
      <c r="H178" s="333">
        <v>0</v>
      </c>
      <c r="I178" s="333">
        <v>0</v>
      </c>
      <c r="J178" s="333">
        <v>0</v>
      </c>
      <c r="K178" s="333">
        <v>0</v>
      </c>
      <c r="L178" s="333">
        <v>0</v>
      </c>
      <c r="M178" s="333">
        <v>0</v>
      </c>
      <c r="N178" s="297"/>
      <c r="O178" s="297"/>
      <c r="P178" s="297"/>
      <c r="Q178" s="297"/>
      <c r="R178" s="297"/>
    </row>
    <row r="179" spans="1:18" ht="22.5" customHeight="1" x14ac:dyDescent="0.25">
      <c r="A179" s="385" t="s">
        <v>268</v>
      </c>
      <c r="B179" s="383">
        <v>3</v>
      </c>
      <c r="C179" s="383">
        <v>3</v>
      </c>
      <c r="D179" s="383">
        <v>3</v>
      </c>
      <c r="E179" s="383">
        <v>3</v>
      </c>
      <c r="F179" s="383">
        <v>3</v>
      </c>
      <c r="G179" s="383">
        <v>3</v>
      </c>
      <c r="H179" s="383">
        <v>3</v>
      </c>
      <c r="I179" s="383">
        <v>3</v>
      </c>
      <c r="J179" s="383">
        <v>3</v>
      </c>
      <c r="K179" s="383">
        <v>3</v>
      </c>
      <c r="L179" s="383">
        <v>3</v>
      </c>
      <c r="M179" s="383">
        <v>3</v>
      </c>
      <c r="N179" s="383"/>
      <c r="O179" s="383"/>
      <c r="P179" s="383"/>
      <c r="Q179" s="383"/>
      <c r="R179" s="383"/>
    </row>
    <row r="180" spans="1:18" x14ac:dyDescent="0.25">
      <c r="A180" s="293"/>
      <c r="B180" s="297"/>
      <c r="C180" s="297"/>
      <c r="D180" s="297"/>
      <c r="E180" s="297"/>
      <c r="F180" s="297"/>
      <c r="G180" s="297"/>
      <c r="H180" s="297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</row>
    <row r="181" spans="1:18" x14ac:dyDescent="0.25">
      <c r="A181" s="380" t="s">
        <v>269</v>
      </c>
      <c r="B181" s="297">
        <v>3</v>
      </c>
      <c r="C181" s="297">
        <v>3</v>
      </c>
      <c r="D181" s="297">
        <v>3</v>
      </c>
      <c r="E181" s="297">
        <v>3</v>
      </c>
      <c r="F181" s="297">
        <v>3</v>
      </c>
      <c r="G181" s="297">
        <v>3</v>
      </c>
      <c r="H181" s="297">
        <v>3</v>
      </c>
      <c r="I181" s="297">
        <v>3</v>
      </c>
      <c r="J181" s="297">
        <v>3</v>
      </c>
      <c r="K181" s="297">
        <v>3</v>
      </c>
      <c r="L181" s="297">
        <v>3</v>
      </c>
      <c r="M181" s="297">
        <v>3</v>
      </c>
      <c r="N181" s="297"/>
      <c r="O181" s="297"/>
      <c r="P181" s="297"/>
      <c r="Q181" s="297"/>
      <c r="R181" s="297"/>
    </row>
    <row r="182" spans="1:18" ht="16.5" x14ac:dyDescent="0.25">
      <c r="A182" s="380" t="s">
        <v>296</v>
      </c>
      <c r="B182" s="297">
        <v>400</v>
      </c>
      <c r="C182" s="297">
        <v>400</v>
      </c>
      <c r="D182" s="297">
        <v>400</v>
      </c>
      <c r="E182" s="297">
        <v>400</v>
      </c>
      <c r="F182" s="297">
        <v>400</v>
      </c>
      <c r="G182" s="297">
        <v>400</v>
      </c>
      <c r="H182" s="297">
        <v>400</v>
      </c>
      <c r="I182" s="297">
        <v>400</v>
      </c>
      <c r="J182" s="297">
        <v>400</v>
      </c>
      <c r="K182" s="297">
        <v>400</v>
      </c>
      <c r="L182" s="297">
        <v>400</v>
      </c>
      <c r="M182" s="297">
        <v>400</v>
      </c>
      <c r="N182" s="297"/>
      <c r="O182" s="297"/>
      <c r="P182" s="297"/>
      <c r="Q182" s="297"/>
      <c r="R182" s="297"/>
    </row>
    <row r="183" spans="1:18" x14ac:dyDescent="0.25">
      <c r="A183" s="334"/>
      <c r="B183" s="335"/>
      <c r="C183" s="335"/>
      <c r="D183" s="335"/>
      <c r="E183" s="335"/>
      <c r="F183" s="335"/>
      <c r="G183" s="335"/>
      <c r="H183" s="335"/>
      <c r="I183" s="335"/>
      <c r="J183" s="335"/>
      <c r="K183" s="335"/>
      <c r="L183" s="335"/>
      <c r="M183" s="335"/>
      <c r="N183" s="335"/>
      <c r="O183" s="335"/>
      <c r="P183" s="335"/>
      <c r="Q183" s="335"/>
      <c r="R183" s="335"/>
    </row>
    <row r="184" spans="1:18" x14ac:dyDescent="0.25">
      <c r="A184" s="336"/>
      <c r="B184" s="335"/>
      <c r="C184" s="335"/>
      <c r="D184" s="335"/>
      <c r="E184" s="335"/>
      <c r="F184" s="335"/>
      <c r="G184" s="335"/>
      <c r="H184" s="337"/>
      <c r="I184" s="337"/>
      <c r="J184" s="337"/>
      <c r="K184" s="337"/>
      <c r="L184" s="337"/>
      <c r="M184" s="337"/>
      <c r="N184" s="337"/>
      <c r="O184" s="337"/>
      <c r="P184" s="337"/>
      <c r="Q184" s="337"/>
      <c r="R184" s="337"/>
    </row>
    <row r="185" spans="1:18" x14ac:dyDescent="0.25">
      <c r="A185" s="284" t="s">
        <v>270</v>
      </c>
      <c r="B185" s="298">
        <f>+B186+B193+B194</f>
        <v>6</v>
      </c>
      <c r="C185" s="298">
        <f>+C186+C193+C194</f>
        <v>6</v>
      </c>
      <c r="D185" s="298">
        <f t="shared" ref="D185:M185" si="68">+D186+D193+D194</f>
        <v>6</v>
      </c>
      <c r="E185" s="298">
        <f t="shared" si="68"/>
        <v>6</v>
      </c>
      <c r="F185" s="298">
        <f t="shared" si="68"/>
        <v>6</v>
      </c>
      <c r="G185" s="298">
        <f t="shared" si="68"/>
        <v>6</v>
      </c>
      <c r="H185" s="298">
        <f t="shared" si="68"/>
        <v>6</v>
      </c>
      <c r="I185" s="298">
        <f t="shared" si="68"/>
        <v>6</v>
      </c>
      <c r="J185" s="298">
        <f t="shared" si="68"/>
        <v>6</v>
      </c>
      <c r="K185" s="298">
        <f t="shared" si="68"/>
        <v>6</v>
      </c>
      <c r="L185" s="298">
        <f t="shared" si="68"/>
        <v>6</v>
      </c>
      <c r="M185" s="298">
        <f t="shared" si="68"/>
        <v>6</v>
      </c>
      <c r="N185" s="298"/>
      <c r="O185" s="298"/>
      <c r="P185" s="298"/>
      <c r="Q185" s="298"/>
      <c r="R185" s="298"/>
    </row>
    <row r="186" spans="1:18" ht="15.75" x14ac:dyDescent="0.25">
      <c r="A186" s="301" t="s">
        <v>271</v>
      </c>
      <c r="B186" s="318">
        <f>SUM(B187:B192)</f>
        <v>6</v>
      </c>
      <c r="C186" s="318">
        <f t="shared" ref="C186:M186" si="69">SUM(C187:C192)</f>
        <v>6</v>
      </c>
      <c r="D186" s="318">
        <f t="shared" si="69"/>
        <v>6</v>
      </c>
      <c r="E186" s="318">
        <f t="shared" si="69"/>
        <v>6</v>
      </c>
      <c r="F186" s="318">
        <f t="shared" si="69"/>
        <v>6</v>
      </c>
      <c r="G186" s="318">
        <f t="shared" si="69"/>
        <v>6</v>
      </c>
      <c r="H186" s="318">
        <f t="shared" si="69"/>
        <v>6</v>
      </c>
      <c r="I186" s="318">
        <f t="shared" si="69"/>
        <v>6</v>
      </c>
      <c r="J186" s="318">
        <f t="shared" si="69"/>
        <v>6</v>
      </c>
      <c r="K186" s="318">
        <f t="shared" si="69"/>
        <v>6</v>
      </c>
      <c r="L186" s="318">
        <f t="shared" si="69"/>
        <v>6</v>
      </c>
      <c r="M186" s="318">
        <f t="shared" si="69"/>
        <v>6</v>
      </c>
      <c r="N186" s="318"/>
      <c r="O186" s="318"/>
      <c r="P186" s="318"/>
      <c r="Q186" s="318"/>
      <c r="R186" s="318"/>
    </row>
    <row r="187" spans="1:18" x14ac:dyDescent="0.25">
      <c r="A187" s="377" t="s">
        <v>272</v>
      </c>
      <c r="B187" s="297">
        <v>3</v>
      </c>
      <c r="C187" s="297">
        <v>3</v>
      </c>
      <c r="D187" s="297">
        <v>3</v>
      </c>
      <c r="E187" s="297">
        <v>3</v>
      </c>
      <c r="F187" s="297">
        <v>3</v>
      </c>
      <c r="G187" s="297">
        <v>3</v>
      </c>
      <c r="H187" s="297">
        <v>3</v>
      </c>
      <c r="I187" s="297">
        <v>3</v>
      </c>
      <c r="J187" s="297">
        <v>3</v>
      </c>
      <c r="K187" s="297">
        <v>3</v>
      </c>
      <c r="L187" s="297">
        <v>3</v>
      </c>
      <c r="M187" s="297">
        <v>3</v>
      </c>
      <c r="N187" s="297"/>
      <c r="O187" s="297"/>
      <c r="P187" s="297"/>
      <c r="Q187" s="297"/>
      <c r="R187" s="297"/>
    </row>
    <row r="188" spans="1:18" x14ac:dyDescent="0.25">
      <c r="A188" s="377" t="s">
        <v>273</v>
      </c>
      <c r="B188" s="297">
        <v>0</v>
      </c>
      <c r="C188" s="297">
        <v>0</v>
      </c>
      <c r="D188" s="297">
        <v>0</v>
      </c>
      <c r="E188" s="297">
        <v>0</v>
      </c>
      <c r="F188" s="297">
        <v>0</v>
      </c>
      <c r="G188" s="297">
        <v>0</v>
      </c>
      <c r="H188" s="297">
        <v>0</v>
      </c>
      <c r="I188" s="297">
        <v>0</v>
      </c>
      <c r="J188" s="297">
        <v>0</v>
      </c>
      <c r="K188" s="297">
        <v>0</v>
      </c>
      <c r="L188" s="297">
        <v>0</v>
      </c>
      <c r="M188" s="297">
        <v>0</v>
      </c>
      <c r="N188" s="297"/>
      <c r="O188" s="297"/>
      <c r="P188" s="297"/>
      <c r="Q188" s="297"/>
      <c r="R188" s="297"/>
    </row>
    <row r="189" spans="1:18" x14ac:dyDescent="0.25">
      <c r="A189" s="377" t="s">
        <v>274</v>
      </c>
      <c r="B189" s="297">
        <v>0</v>
      </c>
      <c r="C189" s="297">
        <v>0</v>
      </c>
      <c r="D189" s="297">
        <v>0</v>
      </c>
      <c r="E189" s="297">
        <v>0</v>
      </c>
      <c r="F189" s="297">
        <v>0</v>
      </c>
      <c r="G189" s="297">
        <v>0</v>
      </c>
      <c r="H189" s="297">
        <v>0</v>
      </c>
      <c r="I189" s="297">
        <v>0</v>
      </c>
      <c r="J189" s="297">
        <v>0</v>
      </c>
      <c r="K189" s="297">
        <v>0</v>
      </c>
      <c r="L189" s="297">
        <v>0</v>
      </c>
      <c r="M189" s="297">
        <v>0</v>
      </c>
      <c r="N189" s="297"/>
      <c r="O189" s="297"/>
      <c r="P189" s="297"/>
      <c r="Q189" s="297"/>
      <c r="R189" s="297"/>
    </row>
    <row r="190" spans="1:18" x14ac:dyDescent="0.25">
      <c r="A190" s="377" t="s">
        <v>273</v>
      </c>
      <c r="B190" s="297">
        <v>0</v>
      </c>
      <c r="C190" s="297">
        <v>0</v>
      </c>
      <c r="D190" s="297">
        <v>0</v>
      </c>
      <c r="E190" s="297">
        <v>0</v>
      </c>
      <c r="F190" s="297">
        <v>0</v>
      </c>
      <c r="G190" s="297">
        <v>0</v>
      </c>
      <c r="H190" s="297">
        <v>0</v>
      </c>
      <c r="I190" s="297">
        <v>0</v>
      </c>
      <c r="J190" s="297">
        <v>0</v>
      </c>
      <c r="K190" s="297">
        <v>0</v>
      </c>
      <c r="L190" s="297">
        <v>0</v>
      </c>
      <c r="M190" s="297">
        <v>0</v>
      </c>
      <c r="N190" s="297"/>
      <c r="O190" s="297"/>
      <c r="P190" s="297"/>
      <c r="Q190" s="297"/>
      <c r="R190" s="297"/>
    </row>
    <row r="191" spans="1:18" x14ac:dyDescent="0.25">
      <c r="A191" s="377" t="s">
        <v>275</v>
      </c>
      <c r="B191" s="297">
        <v>3</v>
      </c>
      <c r="C191" s="297">
        <v>3</v>
      </c>
      <c r="D191" s="297">
        <v>3</v>
      </c>
      <c r="E191" s="297">
        <v>3</v>
      </c>
      <c r="F191" s="297">
        <v>3</v>
      </c>
      <c r="G191" s="297">
        <v>3</v>
      </c>
      <c r="H191" s="297">
        <v>3</v>
      </c>
      <c r="I191" s="297">
        <v>3</v>
      </c>
      <c r="J191" s="297">
        <v>3</v>
      </c>
      <c r="K191" s="297">
        <v>3</v>
      </c>
      <c r="L191" s="297">
        <v>3</v>
      </c>
      <c r="M191" s="297">
        <v>3</v>
      </c>
      <c r="N191" s="297"/>
      <c r="O191" s="297"/>
      <c r="P191" s="297"/>
      <c r="Q191" s="297"/>
      <c r="R191" s="268"/>
    </row>
    <row r="192" spans="1:18" x14ac:dyDescent="0.25">
      <c r="A192" s="377" t="s">
        <v>273</v>
      </c>
      <c r="B192" s="297">
        <v>0</v>
      </c>
      <c r="C192" s="297">
        <v>0</v>
      </c>
      <c r="D192" s="297">
        <v>0</v>
      </c>
      <c r="E192" s="297">
        <v>0</v>
      </c>
      <c r="F192" s="297">
        <v>0</v>
      </c>
      <c r="G192" s="297">
        <v>0</v>
      </c>
      <c r="H192" s="297">
        <v>0</v>
      </c>
      <c r="I192" s="297">
        <v>0</v>
      </c>
      <c r="J192" s="297">
        <v>0</v>
      </c>
      <c r="K192" s="297">
        <v>0</v>
      </c>
      <c r="L192" s="297">
        <v>0</v>
      </c>
      <c r="M192" s="297">
        <v>0</v>
      </c>
      <c r="N192" s="297"/>
      <c r="O192" s="297"/>
      <c r="P192" s="297"/>
      <c r="Q192" s="297"/>
      <c r="R192" s="268"/>
    </row>
    <row r="193" spans="1:18" ht="15.75" x14ac:dyDescent="0.25">
      <c r="A193" s="386" t="s">
        <v>297</v>
      </c>
      <c r="B193" s="297">
        <v>0</v>
      </c>
      <c r="C193" s="297">
        <v>0</v>
      </c>
      <c r="D193" s="297">
        <v>0</v>
      </c>
      <c r="E193" s="297">
        <v>0</v>
      </c>
      <c r="F193" s="297">
        <v>0</v>
      </c>
      <c r="G193" s="297">
        <v>0</v>
      </c>
      <c r="H193" s="297">
        <v>0</v>
      </c>
      <c r="I193" s="297">
        <v>0</v>
      </c>
      <c r="J193" s="297">
        <v>0</v>
      </c>
      <c r="K193" s="297">
        <v>0</v>
      </c>
      <c r="L193" s="297">
        <v>0</v>
      </c>
      <c r="M193" s="297">
        <v>0</v>
      </c>
      <c r="N193" s="297"/>
      <c r="O193" s="297"/>
      <c r="P193" s="297"/>
      <c r="Q193" s="297"/>
      <c r="R193" s="268"/>
    </row>
    <row r="194" spans="1:18" x14ac:dyDescent="0.25">
      <c r="A194" s="378" t="s">
        <v>276</v>
      </c>
      <c r="B194" s="297">
        <v>0</v>
      </c>
      <c r="C194" s="297">
        <v>0</v>
      </c>
      <c r="D194" s="297">
        <v>0</v>
      </c>
      <c r="E194" s="297">
        <v>0</v>
      </c>
      <c r="F194" s="297">
        <v>0</v>
      </c>
      <c r="G194" s="297">
        <v>0</v>
      </c>
      <c r="H194" s="297">
        <v>0</v>
      </c>
      <c r="I194" s="297">
        <v>0</v>
      </c>
      <c r="J194" s="297">
        <v>0</v>
      </c>
      <c r="K194" s="297">
        <v>0</v>
      </c>
      <c r="L194" s="297">
        <v>0</v>
      </c>
      <c r="M194" s="297">
        <v>0</v>
      </c>
      <c r="N194" s="297"/>
      <c r="O194" s="297"/>
      <c r="P194" s="297"/>
      <c r="Q194" s="297"/>
      <c r="R194" s="268"/>
    </row>
    <row r="195" spans="1:18" x14ac:dyDescent="0.25">
      <c r="A195" s="338"/>
      <c r="B195" s="339"/>
      <c r="C195" s="339"/>
      <c r="D195" s="339"/>
      <c r="E195" s="339"/>
      <c r="F195" s="339"/>
      <c r="G195" s="339"/>
      <c r="H195" s="339"/>
      <c r="I195" s="340"/>
      <c r="J195" s="340"/>
      <c r="K195" s="339"/>
      <c r="L195" s="339"/>
      <c r="M195" s="339"/>
      <c r="N195" s="339"/>
      <c r="O195" s="339"/>
      <c r="P195" s="339"/>
      <c r="Q195" s="339"/>
      <c r="R195" s="268"/>
    </row>
    <row r="196" spans="1:18" x14ac:dyDescent="0.25">
      <c r="A196" s="284" t="s">
        <v>277</v>
      </c>
      <c r="B196" s="341"/>
      <c r="C196" s="341"/>
      <c r="D196" s="341"/>
      <c r="E196" s="341"/>
      <c r="F196" s="341"/>
      <c r="G196" s="341"/>
      <c r="H196" s="341"/>
      <c r="I196" s="342"/>
      <c r="J196" s="341"/>
      <c r="K196" s="341"/>
      <c r="L196" s="343"/>
      <c r="M196" s="341"/>
      <c r="N196" s="341"/>
      <c r="O196" s="341"/>
      <c r="P196" s="341"/>
      <c r="Q196" s="341"/>
      <c r="R196" s="268"/>
    </row>
    <row r="197" spans="1:18" x14ac:dyDescent="0.25">
      <c r="A197" s="380" t="s">
        <v>278</v>
      </c>
      <c r="B197" s="297">
        <v>2</v>
      </c>
      <c r="C197" s="297">
        <v>2</v>
      </c>
      <c r="D197" s="297"/>
      <c r="E197" s="297">
        <v>2</v>
      </c>
      <c r="F197" s="297">
        <v>2</v>
      </c>
      <c r="G197" s="297">
        <v>2</v>
      </c>
      <c r="H197" s="329">
        <v>2</v>
      </c>
      <c r="I197" s="329">
        <v>2</v>
      </c>
      <c r="J197" s="329">
        <v>2</v>
      </c>
      <c r="K197" s="344">
        <v>2</v>
      </c>
      <c r="L197" s="344">
        <v>2</v>
      </c>
      <c r="M197" s="330">
        <v>2</v>
      </c>
      <c r="N197" s="297"/>
      <c r="O197" s="297"/>
      <c r="P197" s="297"/>
      <c r="Q197" s="297"/>
      <c r="R197" s="268"/>
    </row>
    <row r="198" spans="1:18" x14ac:dyDescent="0.25">
      <c r="A198" s="380" t="s">
        <v>279</v>
      </c>
      <c r="B198" s="297">
        <v>10</v>
      </c>
      <c r="C198" s="297">
        <v>9</v>
      </c>
      <c r="D198" s="297">
        <v>15</v>
      </c>
      <c r="E198" s="297">
        <v>12</v>
      </c>
      <c r="F198" s="297">
        <v>26</v>
      </c>
      <c r="G198" s="297">
        <v>19</v>
      </c>
      <c r="H198" s="329">
        <v>19</v>
      </c>
      <c r="I198" s="329">
        <v>16</v>
      </c>
      <c r="J198" s="329">
        <v>8</v>
      </c>
      <c r="K198" s="344">
        <v>16</v>
      </c>
      <c r="L198" s="344">
        <v>18</v>
      </c>
      <c r="M198" s="330">
        <v>18</v>
      </c>
      <c r="N198" s="266">
        <f t="shared" ref="N198:N202" si="70">SUM(B198:M198)</f>
        <v>186</v>
      </c>
      <c r="O198" s="297"/>
      <c r="P198" s="297"/>
      <c r="Q198" s="297"/>
      <c r="R198" s="268"/>
    </row>
    <row r="199" spans="1:18" x14ac:dyDescent="0.25">
      <c r="A199" s="380" t="s">
        <v>280</v>
      </c>
      <c r="B199" s="297">
        <v>10</v>
      </c>
      <c r="C199" s="297">
        <v>9</v>
      </c>
      <c r="D199" s="297">
        <v>15</v>
      </c>
      <c r="E199" s="297">
        <v>12</v>
      </c>
      <c r="F199" s="297">
        <v>26</v>
      </c>
      <c r="G199" s="297">
        <v>19</v>
      </c>
      <c r="H199" s="329">
        <v>19</v>
      </c>
      <c r="I199" s="329">
        <v>16</v>
      </c>
      <c r="J199" s="329">
        <v>8</v>
      </c>
      <c r="K199" s="344">
        <v>16</v>
      </c>
      <c r="L199" s="344">
        <v>18</v>
      </c>
      <c r="M199" s="330">
        <v>16</v>
      </c>
      <c r="N199" s="266">
        <f t="shared" si="70"/>
        <v>184</v>
      </c>
      <c r="O199" s="297"/>
      <c r="P199" s="297"/>
      <c r="Q199" s="297"/>
      <c r="R199" s="268"/>
    </row>
    <row r="200" spans="1:18" x14ac:dyDescent="0.25">
      <c r="A200" s="380" t="s">
        <v>281</v>
      </c>
      <c r="B200" s="297">
        <v>0</v>
      </c>
      <c r="C200" s="297"/>
      <c r="D200" s="297">
        <v>0</v>
      </c>
      <c r="E200" s="297">
        <v>0</v>
      </c>
      <c r="F200" s="297">
        <v>0</v>
      </c>
      <c r="G200" s="297">
        <v>0</v>
      </c>
      <c r="H200" s="329">
        <v>0</v>
      </c>
      <c r="I200" s="329">
        <v>0</v>
      </c>
      <c r="J200" s="329">
        <v>0</v>
      </c>
      <c r="K200" s="344">
        <v>0</v>
      </c>
      <c r="L200" s="329">
        <v>0</v>
      </c>
      <c r="M200" s="330">
        <v>0</v>
      </c>
      <c r="N200" s="266">
        <f t="shared" si="70"/>
        <v>0</v>
      </c>
      <c r="O200" s="297"/>
      <c r="P200" s="297"/>
      <c r="Q200" s="297"/>
      <c r="R200" s="268"/>
    </row>
    <row r="201" spans="1:18" x14ac:dyDescent="0.25">
      <c r="A201" s="380" t="s">
        <v>282</v>
      </c>
      <c r="B201" s="297">
        <v>19</v>
      </c>
      <c r="C201" s="297">
        <v>16</v>
      </c>
      <c r="D201" s="297">
        <v>26</v>
      </c>
      <c r="E201" s="297">
        <v>23</v>
      </c>
      <c r="F201" s="297">
        <v>38</v>
      </c>
      <c r="G201" s="297">
        <v>39</v>
      </c>
      <c r="H201" s="329">
        <v>28</v>
      </c>
      <c r="I201" s="329">
        <v>23</v>
      </c>
      <c r="J201" s="329">
        <v>16</v>
      </c>
      <c r="K201" s="344">
        <v>19</v>
      </c>
      <c r="L201" s="344">
        <v>21</v>
      </c>
      <c r="M201" s="330">
        <v>22</v>
      </c>
      <c r="N201" s="266">
        <f t="shared" si="70"/>
        <v>290</v>
      </c>
      <c r="O201" s="297"/>
      <c r="P201" s="297"/>
      <c r="Q201" s="297"/>
      <c r="R201" s="268"/>
    </row>
    <row r="202" spans="1:18" x14ac:dyDescent="0.25">
      <c r="A202" s="380" t="s">
        <v>283</v>
      </c>
      <c r="B202" s="297">
        <v>19</v>
      </c>
      <c r="C202" s="297">
        <v>16</v>
      </c>
      <c r="D202" s="297">
        <v>26</v>
      </c>
      <c r="E202" s="297">
        <v>23</v>
      </c>
      <c r="F202" s="297">
        <v>38</v>
      </c>
      <c r="G202" s="297">
        <v>39</v>
      </c>
      <c r="H202" s="329">
        <v>28</v>
      </c>
      <c r="I202" s="329">
        <v>23</v>
      </c>
      <c r="J202" s="329">
        <v>16</v>
      </c>
      <c r="K202" s="344">
        <v>19</v>
      </c>
      <c r="L202" s="344">
        <v>21</v>
      </c>
      <c r="M202" s="330">
        <v>22</v>
      </c>
      <c r="N202" s="266">
        <f t="shared" si="70"/>
        <v>290</v>
      </c>
      <c r="O202" s="297"/>
      <c r="P202" s="297"/>
      <c r="Q202" s="297"/>
      <c r="R202" s="268"/>
    </row>
    <row r="203" spans="1:18" x14ac:dyDescent="0.25">
      <c r="A203" s="380" t="s">
        <v>284</v>
      </c>
      <c r="B203" s="297">
        <v>1910</v>
      </c>
      <c r="C203" s="297">
        <v>1910</v>
      </c>
      <c r="D203" s="297">
        <v>1910</v>
      </c>
      <c r="E203" s="297">
        <v>1910</v>
      </c>
      <c r="F203" s="297">
        <v>1910</v>
      </c>
      <c r="G203" s="297">
        <v>1910</v>
      </c>
      <c r="H203" s="329">
        <v>1910</v>
      </c>
      <c r="I203" s="329">
        <v>1915</v>
      </c>
      <c r="J203" s="329">
        <v>1916</v>
      </c>
      <c r="K203" s="344">
        <v>1920</v>
      </c>
      <c r="L203" s="344">
        <v>1914</v>
      </c>
      <c r="M203" s="330">
        <v>1930</v>
      </c>
      <c r="N203" s="297">
        <v>1930</v>
      </c>
      <c r="O203" s="297"/>
      <c r="P203" s="297"/>
      <c r="Q203" s="297"/>
      <c r="R203" s="268"/>
    </row>
    <row r="204" spans="1:18" x14ac:dyDescent="0.25">
      <c r="A204" s="387" t="s">
        <v>285</v>
      </c>
      <c r="B204" s="345">
        <v>0</v>
      </c>
      <c r="C204" s="345">
        <v>0</v>
      </c>
      <c r="D204" s="345">
        <v>0</v>
      </c>
      <c r="E204" s="345"/>
      <c r="F204" s="345"/>
      <c r="G204" s="345"/>
      <c r="H204" s="346"/>
      <c r="I204" s="346"/>
      <c r="J204" s="346"/>
      <c r="K204" s="346"/>
      <c r="L204" s="346"/>
      <c r="M204" s="347"/>
      <c r="N204" s="345"/>
      <c r="O204" s="345"/>
      <c r="P204" s="345"/>
      <c r="Q204" s="345"/>
      <c r="R204" s="268"/>
    </row>
    <row r="210" spans="3:10" x14ac:dyDescent="0.25">
      <c r="C210" s="484"/>
      <c r="D210" s="484"/>
      <c r="E210" s="484"/>
      <c r="F210" s="484"/>
      <c r="G210" s="484"/>
      <c r="H210" s="484"/>
      <c r="I210" s="484"/>
      <c r="J210" s="484"/>
    </row>
    <row r="211" spans="3:10" x14ac:dyDescent="0.25">
      <c r="C211" s="484"/>
      <c r="D211" s="484"/>
      <c r="E211" s="484"/>
      <c r="F211" s="484"/>
      <c r="G211" s="484"/>
      <c r="H211" s="484"/>
      <c r="I211" s="484"/>
      <c r="J211" s="484"/>
    </row>
    <row r="212" spans="3:10" x14ac:dyDescent="0.25">
      <c r="C212" s="484"/>
      <c r="D212"/>
      <c r="E212" s="484"/>
      <c r="F212" s="484"/>
      <c r="G212" s="484"/>
      <c r="H212" s="484"/>
      <c r="I212" s="484"/>
      <c r="J212" s="484"/>
    </row>
    <row r="213" spans="3:10" x14ac:dyDescent="0.25">
      <c r="C213" s="484"/>
      <c r="D213" s="484"/>
      <c r="E213" s="484"/>
      <c r="F213" s="484"/>
      <c r="G213" s="484"/>
      <c r="H213" s="484"/>
      <c r="I213" s="484"/>
      <c r="J213" s="484"/>
    </row>
    <row r="214" spans="3:10" x14ac:dyDescent="0.25">
      <c r="C214" s="484"/>
      <c r="D214" s="484"/>
      <c r="E214" s="484"/>
      <c r="F214" s="484"/>
      <c r="G214" s="484"/>
      <c r="H214" s="484"/>
      <c r="I214" s="484"/>
      <c r="J214" s="484"/>
    </row>
    <row r="215" spans="3:10" x14ac:dyDescent="0.25">
      <c r="C215" s="484"/>
      <c r="D215" s="484"/>
      <c r="E215" s="484"/>
      <c r="F215" s="484"/>
      <c r="G215" s="484"/>
      <c r="H215" s="484"/>
      <c r="I215" s="484"/>
      <c r="J215" s="484"/>
    </row>
    <row r="216" spans="3:10" x14ac:dyDescent="0.25">
      <c r="C216" s="484"/>
      <c r="D216" s="484"/>
      <c r="E216" s="484"/>
      <c r="F216" s="484"/>
      <c r="G216" s="484"/>
      <c r="H216" s="484"/>
      <c r="I216" s="484"/>
      <c r="J216" s="484"/>
    </row>
    <row r="217" spans="3:10" x14ac:dyDescent="0.25">
      <c r="C217"/>
      <c r="D217"/>
      <c r="E217"/>
      <c r="F217"/>
      <c r="G217"/>
      <c r="H217"/>
      <c r="I217"/>
      <c r="J217"/>
    </row>
    <row r="218" spans="3:10" x14ac:dyDescent="0.25">
      <c r="C218"/>
      <c r="D218"/>
      <c r="E218"/>
      <c r="F218"/>
      <c r="G218"/>
      <c r="H218"/>
      <c r="I218"/>
      <c r="J218"/>
    </row>
    <row r="219" spans="3:10" x14ac:dyDescent="0.25">
      <c r="C219"/>
      <c r="D219"/>
      <c r="E219"/>
      <c r="F219"/>
      <c r="G219"/>
      <c r="H219"/>
      <c r="I219"/>
      <c r="J219"/>
    </row>
    <row r="220" spans="3:10" x14ac:dyDescent="0.25">
      <c r="C220"/>
      <c r="D220"/>
      <c r="E220"/>
      <c r="F220"/>
      <c r="G220"/>
      <c r="H220"/>
      <c r="I220"/>
      <c r="J220"/>
    </row>
    <row r="221" spans="3:10" x14ac:dyDescent="0.25">
      <c r="C221"/>
      <c r="D221"/>
      <c r="E221"/>
      <c r="F221"/>
      <c r="G221"/>
      <c r="H221"/>
      <c r="I221"/>
      <c r="J221"/>
    </row>
    <row r="222" spans="3:10" x14ac:dyDescent="0.25">
      <c r="C222"/>
      <c r="D222"/>
      <c r="E222"/>
      <c r="F222"/>
      <c r="G222"/>
      <c r="H222"/>
      <c r="I222"/>
      <c r="J222"/>
    </row>
    <row r="223" spans="3:10" x14ac:dyDescent="0.25">
      <c r="C223"/>
      <c r="D223"/>
      <c r="E223"/>
      <c r="F223"/>
      <c r="G223" s="484"/>
      <c r="H223"/>
      <c r="I223"/>
      <c r="J223"/>
    </row>
  </sheetData>
  <mergeCells count="5">
    <mergeCell ref="A1:R1"/>
    <mergeCell ref="A3:R3"/>
    <mergeCell ref="A4:R4"/>
    <mergeCell ref="A6:R6"/>
    <mergeCell ref="A7:R7"/>
  </mergeCells>
  <printOptions horizontalCentered="1"/>
  <pageMargins left="0.31496062992125984" right="0.31496062992125984" top="0.15748031496062992" bottom="0.15748031496062992" header="0.31496062992125984" footer="0.15748031496062992"/>
  <pageSetup scale="40" orientation="landscape" r:id="rId1"/>
  <rowBreaks count="1" manualBreakCount="1">
    <brk id="102" max="16383" man="1"/>
  </rowBreaks>
  <colBreaks count="1" manualBreakCount="1">
    <brk id="1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228"/>
  <sheetViews>
    <sheetView zoomScaleNormal="100" workbookViewId="0">
      <selection activeCell="G103" sqref="G103"/>
    </sheetView>
  </sheetViews>
  <sheetFormatPr baseColWidth="10" defaultColWidth="11.42578125" defaultRowHeight="15" x14ac:dyDescent="0.25"/>
  <cols>
    <col min="1" max="1" width="7.85546875" style="1" customWidth="1"/>
    <col min="2" max="2" width="21.42578125" style="2" customWidth="1"/>
    <col min="3" max="3" width="38.140625" style="1" customWidth="1"/>
    <col min="4" max="4" width="14" style="1" hidden="1" customWidth="1"/>
    <col min="5" max="9" width="14" style="1" customWidth="1"/>
    <col min="10" max="10" width="13.85546875" style="1" customWidth="1"/>
    <col min="11" max="11" width="13.140625" style="1" customWidth="1"/>
    <col min="12" max="12" width="14.28515625" style="1" customWidth="1"/>
    <col min="13" max="13" width="14.42578125" style="1" customWidth="1"/>
    <col min="14" max="14" width="13" style="1" customWidth="1"/>
    <col min="15" max="15" width="13.5703125" style="1" customWidth="1"/>
    <col min="16" max="16" width="3.5703125" style="357" customWidth="1"/>
    <col min="17" max="16384" width="11.42578125" style="1"/>
  </cols>
  <sheetData>
    <row r="1" spans="1:16" x14ac:dyDescent="0.25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</row>
    <row r="2" spans="1:16" x14ac:dyDescent="0.25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</row>
    <row r="3" spans="1:16" x14ac:dyDescent="0.25">
      <c r="A3" s="422"/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</row>
    <row r="4" spans="1:16" x14ac:dyDescent="0.2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</row>
    <row r="5" spans="1:16" ht="15.75" thickBot="1" x14ac:dyDescent="0.3"/>
    <row r="6" spans="1:16" s="5" customFormat="1" ht="15.75" thickBot="1" x14ac:dyDescent="0.3">
      <c r="A6" s="3" t="s">
        <v>1</v>
      </c>
      <c r="B6" s="423" t="s">
        <v>2</v>
      </c>
      <c r="C6" s="424"/>
      <c r="D6" s="3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358"/>
    </row>
    <row r="7" spans="1:16" x14ac:dyDescent="0.25">
      <c r="A7" s="415" t="s">
        <v>15</v>
      </c>
      <c r="B7" s="425" t="s">
        <v>16</v>
      </c>
      <c r="C7" s="352" t="s">
        <v>92</v>
      </c>
      <c r="D7" s="6">
        <f>+PIGOO!B65</f>
        <v>38900</v>
      </c>
      <c r="E7" s="6">
        <f>+PIGOO!C65</f>
        <v>50541</v>
      </c>
      <c r="F7" s="6">
        <f>+PIGOO!D65</f>
        <v>93951</v>
      </c>
      <c r="G7" s="6">
        <f>+PIGOO!E65</f>
        <v>92729</v>
      </c>
      <c r="H7" s="6">
        <f>+PIGOO!F65</f>
        <v>34493</v>
      </c>
      <c r="I7" s="6">
        <f>+PIGOO!G65</f>
        <v>0</v>
      </c>
      <c r="J7" s="6">
        <f>+PIGOO!H65</f>
        <v>34195</v>
      </c>
      <c r="K7" s="6">
        <f>+PIGOO!I65</f>
        <v>109769</v>
      </c>
      <c r="L7" s="6">
        <f>+PIGOO!J65</f>
        <v>0</v>
      </c>
      <c r="M7" s="6">
        <f>+PIGOO!K65</f>
        <v>87482</v>
      </c>
      <c r="N7" s="6">
        <f>+PIGOO!L65</f>
        <v>26235</v>
      </c>
      <c r="O7" s="6">
        <f>+PIGOO!M65</f>
        <v>59867</v>
      </c>
      <c r="P7" s="359">
        <v>1</v>
      </c>
    </row>
    <row r="8" spans="1:16" ht="15.75" thickBot="1" x14ac:dyDescent="0.3">
      <c r="A8" s="416"/>
      <c r="B8" s="426"/>
      <c r="C8" s="161" t="s">
        <v>69</v>
      </c>
      <c r="D8" s="9">
        <v>38000</v>
      </c>
      <c r="E8" s="9">
        <v>38000</v>
      </c>
      <c r="F8" s="9">
        <v>38000</v>
      </c>
      <c r="G8" s="9">
        <v>38000</v>
      </c>
      <c r="H8" s="9">
        <v>38000</v>
      </c>
      <c r="I8" s="9">
        <v>38000</v>
      </c>
      <c r="J8" s="9">
        <v>38000</v>
      </c>
      <c r="K8" s="9">
        <v>38000</v>
      </c>
      <c r="L8" s="9">
        <v>38000</v>
      </c>
      <c r="M8" s="9">
        <v>38000</v>
      </c>
      <c r="N8" s="9">
        <v>38000</v>
      </c>
      <c r="O8" s="9">
        <v>38000</v>
      </c>
    </row>
    <row r="9" spans="1:16" x14ac:dyDescent="0.25">
      <c r="B9" s="426"/>
      <c r="C9" s="12" t="s">
        <v>93</v>
      </c>
      <c r="D9" s="13">
        <f>(D7/D8)-1</f>
        <v>2.3684210526315752E-2</v>
      </c>
      <c r="E9" s="13">
        <f t="shared" ref="E9:F9" si="0">(E7/E8)-1</f>
        <v>0.33002631578947361</v>
      </c>
      <c r="F9" s="13">
        <f t="shared" si="0"/>
        <v>1.4723947368421051</v>
      </c>
      <c r="G9" s="13">
        <f t="shared" ref="G9:J9" si="1">(G7/G8)-1</f>
        <v>1.4402368421052634</v>
      </c>
      <c r="H9" s="13">
        <f t="shared" si="1"/>
        <v>-9.2289473684210477E-2</v>
      </c>
      <c r="I9" s="13">
        <f t="shared" si="1"/>
        <v>-1</v>
      </c>
      <c r="J9" s="13">
        <f t="shared" si="1"/>
        <v>-0.10013157894736846</v>
      </c>
      <c r="K9" s="14">
        <f>(K7/K8)-1</f>
        <v>1.8886578947368422</v>
      </c>
      <c r="L9" s="13">
        <f t="shared" ref="L9:O9" si="2">(L7/L8)-1</f>
        <v>-1</v>
      </c>
      <c r="M9" s="13">
        <f t="shared" si="2"/>
        <v>1.3021578947368422</v>
      </c>
      <c r="N9" s="13">
        <f t="shared" si="2"/>
        <v>-0.30960526315789472</v>
      </c>
      <c r="O9" s="13">
        <f t="shared" si="2"/>
        <v>0.5754473684210526</v>
      </c>
    </row>
    <row r="10" spans="1:16" x14ac:dyDescent="0.25">
      <c r="B10" s="426"/>
      <c r="C10" s="8" t="s">
        <v>94</v>
      </c>
      <c r="D10" s="15">
        <f>(D11/D12)-1</f>
        <v>2.3684210526315752E-2</v>
      </c>
      <c r="E10" s="15">
        <f t="shared" ref="E10:F10" si="3">(E11/E12)-1</f>
        <v>0.17685526315789479</v>
      </c>
      <c r="F10" s="15">
        <f t="shared" si="3"/>
        <v>0.60870175438596497</v>
      </c>
      <c r="G10" s="15">
        <f t="shared" ref="G10:J10" si="4">(G11/G12)-1</f>
        <v>0.81658552631578951</v>
      </c>
      <c r="H10" s="15">
        <f t="shared" si="4"/>
        <v>0.63481052631578949</v>
      </c>
      <c r="I10" s="15">
        <f t="shared" si="4"/>
        <v>0.36234210526315791</v>
      </c>
      <c r="J10" s="15">
        <f t="shared" si="4"/>
        <v>0.29627443609022563</v>
      </c>
      <c r="K10" s="16">
        <f>(K11/K12)-1</f>
        <v>0.49532236842105259</v>
      </c>
      <c r="L10" s="15">
        <f t="shared" ref="L10:O10" si="5">(L11/L12)-1</f>
        <v>0.32917543859649112</v>
      </c>
      <c r="M10" s="15">
        <f t="shared" si="5"/>
        <v>0.42647368421052634</v>
      </c>
      <c r="N10" s="15">
        <f t="shared" si="5"/>
        <v>0.35955741626794269</v>
      </c>
      <c r="O10" s="15">
        <f t="shared" si="5"/>
        <v>0.37754824561403511</v>
      </c>
    </row>
    <row r="11" spans="1:16" x14ac:dyDescent="0.25">
      <c r="B11" s="426"/>
      <c r="C11" s="12" t="s">
        <v>95</v>
      </c>
      <c r="D11" s="7">
        <f>+D7</f>
        <v>38900</v>
      </c>
      <c r="E11" s="7">
        <f>D11+E7</f>
        <v>89441</v>
      </c>
      <c r="F11" s="7">
        <f>E11+F7</f>
        <v>183392</v>
      </c>
      <c r="G11" s="7">
        <f t="shared" ref="G11:O12" si="6">F11+G7</f>
        <v>276121</v>
      </c>
      <c r="H11" s="7">
        <f t="shared" si="6"/>
        <v>310614</v>
      </c>
      <c r="I11" s="7">
        <f t="shared" si="6"/>
        <v>310614</v>
      </c>
      <c r="J11" s="7">
        <f t="shared" si="6"/>
        <v>344809</v>
      </c>
      <c r="K11" s="7">
        <f t="shared" si="6"/>
        <v>454578</v>
      </c>
      <c r="L11" s="7">
        <f t="shared" si="6"/>
        <v>454578</v>
      </c>
      <c r="M11" s="7">
        <f t="shared" si="6"/>
        <v>542060</v>
      </c>
      <c r="N11" s="7">
        <f t="shared" si="6"/>
        <v>568295</v>
      </c>
      <c r="O11" s="7">
        <f t="shared" si="6"/>
        <v>628162</v>
      </c>
    </row>
    <row r="12" spans="1:16" ht="15.75" thickBot="1" x14ac:dyDescent="0.3">
      <c r="B12" s="427"/>
      <c r="C12" s="17" t="s">
        <v>70</v>
      </c>
      <c r="D12" s="10">
        <f>+D8</f>
        <v>38000</v>
      </c>
      <c r="E12" s="10">
        <f>D12+E8</f>
        <v>76000</v>
      </c>
      <c r="F12" s="10">
        <f t="shared" ref="F12" si="7">E12+F8</f>
        <v>114000</v>
      </c>
      <c r="G12" s="10">
        <f t="shared" ref="G12:I12" si="8">F12+G8</f>
        <v>152000</v>
      </c>
      <c r="H12" s="10">
        <f t="shared" si="8"/>
        <v>190000</v>
      </c>
      <c r="I12" s="10">
        <f t="shared" si="8"/>
        <v>228000</v>
      </c>
      <c r="J12" s="10">
        <f t="shared" si="6"/>
        <v>266000</v>
      </c>
      <c r="K12" s="10">
        <f t="shared" si="6"/>
        <v>304000</v>
      </c>
      <c r="L12" s="10">
        <f t="shared" si="6"/>
        <v>342000</v>
      </c>
      <c r="M12" s="10">
        <f t="shared" si="6"/>
        <v>380000</v>
      </c>
      <c r="N12" s="10">
        <f t="shared" si="6"/>
        <v>418000</v>
      </c>
      <c r="O12" s="10">
        <f t="shared" si="6"/>
        <v>456000</v>
      </c>
    </row>
    <row r="13" spans="1:16" x14ac:dyDescent="0.25">
      <c r="A13" s="415" t="s">
        <v>15</v>
      </c>
      <c r="B13" s="428" t="s">
        <v>18</v>
      </c>
      <c r="C13" s="363" t="s">
        <v>92</v>
      </c>
      <c r="D13" s="18">
        <f>+PIGOO!B71</f>
        <v>20723</v>
      </c>
      <c r="E13" s="18">
        <f>+PIGOO!C71</f>
        <v>19520</v>
      </c>
      <c r="F13" s="18">
        <f>+PIGOO!D71</f>
        <v>19905</v>
      </c>
      <c r="G13" s="18">
        <f>+PIGOO!E71</f>
        <v>22464</v>
      </c>
      <c r="H13" s="18">
        <f>+PIGOO!F71</f>
        <v>23131</v>
      </c>
      <c r="I13" s="18">
        <f>+PIGOO!G71</f>
        <v>23779</v>
      </c>
      <c r="J13" s="18">
        <f>+PIGOO!H71</f>
        <v>24890</v>
      </c>
      <c r="K13" s="18">
        <f>+PIGOO!I71</f>
        <v>24391</v>
      </c>
      <c r="L13" s="18">
        <f>+PIGOO!J71</f>
        <v>24402</v>
      </c>
      <c r="M13" s="18">
        <f>+PIGOO!K71</f>
        <v>23514</v>
      </c>
      <c r="N13" s="18">
        <f>+PIGOO!L71</f>
        <v>20440</v>
      </c>
      <c r="O13" s="18">
        <f>+PIGOO!M71</f>
        <v>23074</v>
      </c>
      <c r="P13" s="359">
        <v>2</v>
      </c>
    </row>
    <row r="14" spans="1:16" ht="15.75" thickBot="1" x14ac:dyDescent="0.3">
      <c r="A14" s="416"/>
      <c r="B14" s="429"/>
      <c r="C14" s="163" t="s">
        <v>69</v>
      </c>
      <c r="D14" s="22">
        <v>17234</v>
      </c>
      <c r="E14" s="23">
        <v>17013</v>
      </c>
      <c r="F14" s="23">
        <v>17083</v>
      </c>
      <c r="G14" s="23">
        <v>17812</v>
      </c>
      <c r="H14" s="160">
        <v>17932</v>
      </c>
      <c r="I14" s="23">
        <v>20064</v>
      </c>
      <c r="J14" s="23">
        <v>19702</v>
      </c>
      <c r="K14" s="24">
        <v>19852</v>
      </c>
      <c r="L14" s="23">
        <v>21161</v>
      </c>
      <c r="M14" s="23">
        <v>18415</v>
      </c>
      <c r="N14" s="23">
        <v>20236</v>
      </c>
      <c r="O14" s="23">
        <v>18179</v>
      </c>
    </row>
    <row r="15" spans="1:16" x14ac:dyDescent="0.25">
      <c r="B15" s="429"/>
      <c r="C15" s="12" t="s">
        <v>93</v>
      </c>
      <c r="D15" s="13">
        <f>(D13/D14)-1</f>
        <v>0.20244864802135321</v>
      </c>
      <c r="E15" s="13">
        <f t="shared" ref="E15:J15" si="9">(E13/E14)-1</f>
        <v>0.14735790278022698</v>
      </c>
      <c r="F15" s="13">
        <f t="shared" si="9"/>
        <v>0.16519346718960359</v>
      </c>
      <c r="G15" s="13">
        <f t="shared" si="9"/>
        <v>0.26117224343139456</v>
      </c>
      <c r="H15" s="13">
        <f t="shared" si="9"/>
        <v>0.28992861922819535</v>
      </c>
      <c r="I15" s="13">
        <f t="shared" si="9"/>
        <v>0.1851574960127591</v>
      </c>
      <c r="J15" s="13">
        <f t="shared" si="9"/>
        <v>0.26332352045477614</v>
      </c>
      <c r="K15" s="14">
        <f>(K13/K14)-1</f>
        <v>0.22864195043320579</v>
      </c>
      <c r="L15" s="13">
        <f t="shared" ref="L15:O15" si="10">(L13/L14)-1</f>
        <v>0.15315911346344691</v>
      </c>
      <c r="M15" s="13">
        <f t="shared" si="10"/>
        <v>0.27689383654629385</v>
      </c>
      <c r="N15" s="13">
        <f t="shared" si="10"/>
        <v>1.0081043684522673E-2</v>
      </c>
      <c r="O15" s="13">
        <f t="shared" si="10"/>
        <v>0.26926673634413345</v>
      </c>
    </row>
    <row r="16" spans="1:16" x14ac:dyDescent="0.25">
      <c r="B16" s="429"/>
      <c r="C16" s="21" t="s">
        <v>94</v>
      </c>
      <c r="D16" s="25">
        <f>(D17/D18)-1</f>
        <v>0.20244864802135321</v>
      </c>
      <c r="E16" s="25">
        <f t="shared" ref="E16:J16" si="11">(E17/E18)-1</f>
        <v>0.17508102899524047</v>
      </c>
      <c r="F16" s="25">
        <f t="shared" si="11"/>
        <v>0.17179037599844138</v>
      </c>
      <c r="G16" s="25">
        <f t="shared" si="11"/>
        <v>0.19481646466691727</v>
      </c>
      <c r="H16" s="25">
        <f t="shared" si="11"/>
        <v>0.21440384041160399</v>
      </c>
      <c r="I16" s="25">
        <f t="shared" si="11"/>
        <v>0.20892680468181224</v>
      </c>
      <c r="J16" s="25">
        <f t="shared" si="11"/>
        <v>0.2173762220119837</v>
      </c>
      <c r="K16" s="26">
        <f>(K17/K18)-1</f>
        <v>0.21890082622092555</v>
      </c>
      <c r="L16" s="25">
        <f t="shared" ref="L16:O16" si="12">(L17/L18)-1</f>
        <v>0.2106128576790407</v>
      </c>
      <c r="M16" s="25">
        <f t="shared" si="12"/>
        <v>0.21716558936585995</v>
      </c>
      <c r="N16" s="25">
        <f t="shared" si="12"/>
        <v>0.19687269980242506</v>
      </c>
      <c r="O16" s="25">
        <f t="shared" si="12"/>
        <v>0.20273006858551823</v>
      </c>
    </row>
    <row r="17" spans="1:16" x14ac:dyDescent="0.25">
      <c r="B17" s="429"/>
      <c r="C17" s="12" t="s">
        <v>95</v>
      </c>
      <c r="D17" s="7">
        <f>D13</f>
        <v>20723</v>
      </c>
      <c r="E17" s="7">
        <f>D17+E13</f>
        <v>40243</v>
      </c>
      <c r="F17" s="7">
        <f t="shared" ref="F17:I17" si="13">E17+F13</f>
        <v>60148</v>
      </c>
      <c r="G17" s="7">
        <f t="shared" si="13"/>
        <v>82612</v>
      </c>
      <c r="H17" s="7">
        <f t="shared" si="13"/>
        <v>105743</v>
      </c>
      <c r="I17" s="7">
        <f t="shared" si="13"/>
        <v>129522</v>
      </c>
      <c r="J17" s="7">
        <f t="shared" ref="J17" si="14">I17+J13</f>
        <v>154412</v>
      </c>
      <c r="K17" s="7">
        <f t="shared" ref="K17:K18" si="15">J17+K13</f>
        <v>178803</v>
      </c>
      <c r="L17" s="7">
        <f t="shared" ref="L17:L18" si="16">K17+L13</f>
        <v>203205</v>
      </c>
      <c r="M17" s="7">
        <f t="shared" ref="M17:M18" si="17">L17+M13</f>
        <v>226719</v>
      </c>
      <c r="N17" s="7">
        <f t="shared" ref="N17:N18" si="18">M17+N13</f>
        <v>247159</v>
      </c>
      <c r="O17" s="7">
        <f t="shared" ref="O17:O18" si="19">N17+O13</f>
        <v>270233</v>
      </c>
    </row>
    <row r="18" spans="1:16" ht="15.75" thickBot="1" x14ac:dyDescent="0.3">
      <c r="B18" s="430"/>
      <c r="C18" s="27" t="s">
        <v>70</v>
      </c>
      <c r="D18" s="23">
        <f>D14</f>
        <v>17234</v>
      </c>
      <c r="E18" s="23">
        <f>D18+E14</f>
        <v>34247</v>
      </c>
      <c r="F18" s="23">
        <f t="shared" ref="F18:J18" si="20">E18+F14</f>
        <v>51330</v>
      </c>
      <c r="G18" s="23">
        <f t="shared" si="20"/>
        <v>69142</v>
      </c>
      <c r="H18" s="23">
        <f t="shared" si="20"/>
        <v>87074</v>
      </c>
      <c r="I18" s="23">
        <f t="shared" si="20"/>
        <v>107138</v>
      </c>
      <c r="J18" s="23">
        <f t="shared" si="20"/>
        <v>126840</v>
      </c>
      <c r="K18" s="23">
        <f t="shared" si="15"/>
        <v>146692</v>
      </c>
      <c r="L18" s="23">
        <f t="shared" si="16"/>
        <v>167853</v>
      </c>
      <c r="M18" s="23">
        <f t="shared" si="17"/>
        <v>186268</v>
      </c>
      <c r="N18" s="23">
        <f t="shared" si="18"/>
        <v>206504</v>
      </c>
      <c r="O18" s="23">
        <f t="shared" si="19"/>
        <v>224683</v>
      </c>
    </row>
    <row r="19" spans="1:16" ht="15" customHeight="1" x14ac:dyDescent="0.25">
      <c r="A19" s="415" t="s">
        <v>15</v>
      </c>
      <c r="B19" s="428" t="s">
        <v>19</v>
      </c>
      <c r="C19" s="363" t="s">
        <v>92</v>
      </c>
      <c r="D19" s="18">
        <f>+PIGOO!B75+PIGOO!B76</f>
        <v>361</v>
      </c>
      <c r="E19" s="18">
        <f>+PIGOO!C75+PIGOO!C76</f>
        <v>305</v>
      </c>
      <c r="F19" s="18">
        <f>+PIGOO!D75+PIGOO!D76</f>
        <v>335</v>
      </c>
      <c r="G19" s="18">
        <f>+PIGOO!E75+PIGOO!E76</f>
        <v>397</v>
      </c>
      <c r="H19" s="18">
        <f>+PIGOO!F75+PIGOO!F76</f>
        <v>559</v>
      </c>
      <c r="I19" s="18">
        <f>+PIGOO!G75+PIGOO!G76</f>
        <v>692</v>
      </c>
      <c r="J19" s="18">
        <f>+PIGOO!H75+PIGOO!H76</f>
        <v>1247</v>
      </c>
      <c r="K19" s="18">
        <f>+PIGOO!I75+PIGOO!I76</f>
        <v>591</v>
      </c>
      <c r="L19" s="18">
        <f>+PIGOO!J75+PIGOO!J76</f>
        <v>360</v>
      </c>
      <c r="M19" s="18">
        <f>+PIGOO!K75+PIGOO!K76</f>
        <v>481</v>
      </c>
      <c r="N19" s="18">
        <f>+PIGOO!L75+PIGOO!L76</f>
        <v>372</v>
      </c>
      <c r="O19" s="18">
        <f>+PIGOO!M75+PIGOO!M76</f>
        <v>903</v>
      </c>
      <c r="P19" s="359">
        <v>22</v>
      </c>
    </row>
    <row r="20" spans="1:16" ht="15.75" thickBot="1" x14ac:dyDescent="0.3">
      <c r="A20" s="416"/>
      <c r="B20" s="429"/>
      <c r="C20" s="163" t="s">
        <v>69</v>
      </c>
      <c r="D20" s="22">
        <v>149</v>
      </c>
      <c r="E20" s="23">
        <v>140</v>
      </c>
      <c r="F20" s="23">
        <v>129</v>
      </c>
      <c r="G20" s="23">
        <v>95</v>
      </c>
      <c r="H20" s="160">
        <v>184</v>
      </c>
      <c r="I20" s="23">
        <v>243</v>
      </c>
      <c r="J20" s="23">
        <v>212</v>
      </c>
      <c r="K20" s="24">
        <v>118</v>
      </c>
      <c r="L20" s="23">
        <v>145</v>
      </c>
      <c r="M20" s="23">
        <v>113</v>
      </c>
      <c r="N20" s="23">
        <v>214</v>
      </c>
      <c r="O20" s="23">
        <v>105</v>
      </c>
    </row>
    <row r="21" spans="1:16" x14ac:dyDescent="0.25">
      <c r="B21" s="429"/>
      <c r="C21" s="12" t="s">
        <v>93</v>
      </c>
      <c r="D21" s="13">
        <f>(D19/D20)-1</f>
        <v>1.4228187919463089</v>
      </c>
      <c r="E21" s="13">
        <f t="shared" ref="E21:J21" si="21">(E19/E20)-1</f>
        <v>1.1785714285714284</v>
      </c>
      <c r="F21" s="13">
        <f t="shared" si="21"/>
        <v>1.5968992248062017</v>
      </c>
      <c r="G21" s="13">
        <f t="shared" si="21"/>
        <v>3.1789473684210527</v>
      </c>
      <c r="H21" s="13">
        <f t="shared" si="21"/>
        <v>2.0380434782608696</v>
      </c>
      <c r="I21" s="13">
        <f t="shared" si="21"/>
        <v>1.8477366255144032</v>
      </c>
      <c r="J21" s="13">
        <f t="shared" si="21"/>
        <v>4.882075471698113</v>
      </c>
      <c r="K21" s="14">
        <f>(K19/K20)-1</f>
        <v>4.0084745762711869</v>
      </c>
      <c r="L21" s="13">
        <f t="shared" ref="L21:O21" si="22">(L19/L20)-1</f>
        <v>1.4827586206896552</v>
      </c>
      <c r="M21" s="13">
        <f t="shared" si="22"/>
        <v>3.2566371681415927</v>
      </c>
      <c r="N21" s="13">
        <f t="shared" si="22"/>
        <v>0.73831775700934577</v>
      </c>
      <c r="O21" s="13">
        <f t="shared" si="22"/>
        <v>7.6</v>
      </c>
    </row>
    <row r="22" spans="1:16" x14ac:dyDescent="0.25">
      <c r="B22" s="429"/>
      <c r="C22" s="21" t="s">
        <v>94</v>
      </c>
      <c r="D22" s="25">
        <f>(D23/D24)-1</f>
        <v>1.4228187919463089</v>
      </c>
      <c r="E22" s="25">
        <f t="shared" ref="E22:J22" si="23">(E23/E24)-1</f>
        <v>1.3044982698961936</v>
      </c>
      <c r="F22" s="25">
        <f t="shared" si="23"/>
        <v>1.3947368421052633</v>
      </c>
      <c r="G22" s="25">
        <f t="shared" si="23"/>
        <v>1.7251461988304095</v>
      </c>
      <c r="H22" s="25">
        <f t="shared" si="23"/>
        <v>1.8077474892395982</v>
      </c>
      <c r="I22" s="25">
        <f t="shared" si="23"/>
        <v>1.8180851063829788</v>
      </c>
      <c r="J22" s="25">
        <f t="shared" si="23"/>
        <v>2.3819444444444446</v>
      </c>
      <c r="K22" s="26">
        <f>(K23/K24)-1</f>
        <v>2.5330708661417325</v>
      </c>
      <c r="L22" s="25">
        <f t="shared" ref="L22:O22" si="24">(L23/L24)-1</f>
        <v>2.425441696113074</v>
      </c>
      <c r="M22" s="25">
        <f t="shared" si="24"/>
        <v>2.4869109947643979</v>
      </c>
      <c r="N22" s="25">
        <f t="shared" si="24"/>
        <v>2.2721010332950633</v>
      </c>
      <c r="O22" s="25">
        <f t="shared" si="24"/>
        <v>2.574986464537087</v>
      </c>
    </row>
    <row r="23" spans="1:16" x14ac:dyDescent="0.25">
      <c r="B23" s="429"/>
      <c r="C23" s="12" t="s">
        <v>95</v>
      </c>
      <c r="D23" s="7">
        <f>D19</f>
        <v>361</v>
      </c>
      <c r="E23" s="7">
        <f>D23+E19</f>
        <v>666</v>
      </c>
      <c r="F23" s="7">
        <f>E23+F19</f>
        <v>1001</v>
      </c>
      <c r="G23" s="7">
        <f t="shared" ref="G23:G24" si="25">F23+G19</f>
        <v>1398</v>
      </c>
      <c r="H23" s="7">
        <f t="shared" ref="H23:H24" si="26">G23+H19</f>
        <v>1957</v>
      </c>
      <c r="I23" s="7">
        <f t="shared" ref="I23:I24" si="27">H23+I19</f>
        <v>2649</v>
      </c>
      <c r="J23" s="7">
        <f t="shared" ref="J23:J24" si="28">I23+J19</f>
        <v>3896</v>
      </c>
      <c r="K23" s="7">
        <f>J23+K19</f>
        <v>4487</v>
      </c>
      <c r="L23" s="7">
        <f t="shared" ref="L23:L24" si="29">K23+L19</f>
        <v>4847</v>
      </c>
      <c r="M23" s="7">
        <f t="shared" ref="M23:M24" si="30">L23+M19</f>
        <v>5328</v>
      </c>
      <c r="N23" s="7">
        <f t="shared" ref="N23:N24" si="31">M23+N19</f>
        <v>5700</v>
      </c>
      <c r="O23" s="7">
        <f t="shared" ref="O23:O24" si="32">N23+O19</f>
        <v>6603</v>
      </c>
    </row>
    <row r="24" spans="1:16" ht="15.75" thickBot="1" x14ac:dyDescent="0.3">
      <c r="B24" s="430"/>
      <c r="C24" s="27" t="s">
        <v>70</v>
      </c>
      <c r="D24" s="23">
        <f>D20</f>
        <v>149</v>
      </c>
      <c r="E24" s="23">
        <f>D24+E20</f>
        <v>289</v>
      </c>
      <c r="F24" s="23">
        <f t="shared" ref="F24" si="33">E24+F20</f>
        <v>418</v>
      </c>
      <c r="G24" s="23">
        <f t="shared" si="25"/>
        <v>513</v>
      </c>
      <c r="H24" s="23">
        <f t="shared" si="26"/>
        <v>697</v>
      </c>
      <c r="I24" s="23">
        <f t="shared" si="27"/>
        <v>940</v>
      </c>
      <c r="J24" s="23">
        <f t="shared" si="28"/>
        <v>1152</v>
      </c>
      <c r="K24" s="23">
        <f>J24+K20</f>
        <v>1270</v>
      </c>
      <c r="L24" s="23">
        <f t="shared" si="29"/>
        <v>1415</v>
      </c>
      <c r="M24" s="23">
        <f t="shared" si="30"/>
        <v>1528</v>
      </c>
      <c r="N24" s="23">
        <f t="shared" si="31"/>
        <v>1742</v>
      </c>
      <c r="O24" s="23">
        <f t="shared" si="32"/>
        <v>1847</v>
      </c>
    </row>
    <row r="25" spans="1:16" ht="15" customHeight="1" x14ac:dyDescent="0.25">
      <c r="A25" s="415" t="s">
        <v>15</v>
      </c>
      <c r="B25" s="428" t="s">
        <v>88</v>
      </c>
      <c r="C25" s="162" t="s">
        <v>92</v>
      </c>
      <c r="D25" s="18">
        <v>0</v>
      </c>
      <c r="E25" s="19"/>
      <c r="F25" s="19"/>
      <c r="G25" s="19"/>
      <c r="H25" s="19"/>
      <c r="I25" s="19"/>
      <c r="J25" s="19"/>
      <c r="K25" s="20"/>
      <c r="L25" s="19"/>
      <c r="M25" s="19"/>
      <c r="N25" s="19"/>
      <c r="O25" s="19"/>
    </row>
    <row r="26" spans="1:16" ht="15.75" thickBot="1" x14ac:dyDescent="0.3">
      <c r="A26" s="416"/>
      <c r="B26" s="429"/>
      <c r="C26" s="163" t="s">
        <v>69</v>
      </c>
      <c r="D26" s="22">
        <v>0</v>
      </c>
      <c r="E26" s="23"/>
      <c r="F26" s="23"/>
      <c r="G26" s="23"/>
      <c r="H26" s="160"/>
      <c r="I26" s="23"/>
      <c r="J26" s="23"/>
      <c r="K26" s="24"/>
      <c r="L26" s="23"/>
      <c r="M26" s="23"/>
      <c r="N26" s="23"/>
      <c r="O26" s="23"/>
    </row>
    <row r="27" spans="1:16" x14ac:dyDescent="0.25">
      <c r="B27" s="429"/>
      <c r="C27" s="12" t="s">
        <v>93</v>
      </c>
      <c r="D27" s="13" t="e">
        <f>(D25/D26)-1</f>
        <v>#DIV/0!</v>
      </c>
      <c r="E27" s="13" t="e">
        <f t="shared" ref="E27:J27" si="34">(E25/E26)-1</f>
        <v>#DIV/0!</v>
      </c>
      <c r="F27" s="13" t="e">
        <f t="shared" si="34"/>
        <v>#DIV/0!</v>
      </c>
      <c r="G27" s="13" t="e">
        <f t="shared" si="34"/>
        <v>#DIV/0!</v>
      </c>
      <c r="H27" s="13" t="e">
        <f t="shared" si="34"/>
        <v>#DIV/0!</v>
      </c>
      <c r="I27" s="13" t="e">
        <f t="shared" si="34"/>
        <v>#DIV/0!</v>
      </c>
      <c r="J27" s="13" t="e">
        <f t="shared" si="34"/>
        <v>#DIV/0!</v>
      </c>
      <c r="K27" s="14" t="e">
        <f>(K25/K26)-1</f>
        <v>#DIV/0!</v>
      </c>
      <c r="L27" s="13" t="e">
        <f t="shared" ref="L27:O27" si="35">(L25/L26)-1</f>
        <v>#DIV/0!</v>
      </c>
      <c r="M27" s="13" t="e">
        <f t="shared" si="35"/>
        <v>#DIV/0!</v>
      </c>
      <c r="N27" s="13" t="e">
        <f t="shared" si="35"/>
        <v>#DIV/0!</v>
      </c>
      <c r="O27" s="13" t="e">
        <f t="shared" si="35"/>
        <v>#DIV/0!</v>
      </c>
    </row>
    <row r="28" spans="1:16" x14ac:dyDescent="0.25">
      <c r="B28" s="429"/>
      <c r="C28" s="21" t="s">
        <v>94</v>
      </c>
      <c r="D28" s="25" t="e">
        <f>(D29/D30)-1</f>
        <v>#DIV/0!</v>
      </c>
      <c r="E28" s="25" t="e">
        <f t="shared" ref="E28:J28" si="36">(E29/E30)-1</f>
        <v>#DIV/0!</v>
      </c>
      <c r="F28" s="25" t="e">
        <f t="shared" si="36"/>
        <v>#DIV/0!</v>
      </c>
      <c r="G28" s="25" t="e">
        <f t="shared" si="36"/>
        <v>#DIV/0!</v>
      </c>
      <c r="H28" s="25" t="e">
        <f t="shared" si="36"/>
        <v>#DIV/0!</v>
      </c>
      <c r="I28" s="25" t="e">
        <f t="shared" si="36"/>
        <v>#DIV/0!</v>
      </c>
      <c r="J28" s="25" t="e">
        <f t="shared" si="36"/>
        <v>#DIV/0!</v>
      </c>
      <c r="K28" s="26" t="e">
        <f>(K29/K30)-1</f>
        <v>#DIV/0!</v>
      </c>
      <c r="L28" s="25" t="e">
        <f t="shared" ref="L28:O28" si="37">(L29/L30)-1</f>
        <v>#DIV/0!</v>
      </c>
      <c r="M28" s="25" t="e">
        <f t="shared" si="37"/>
        <v>#DIV/0!</v>
      </c>
      <c r="N28" s="25" t="e">
        <f t="shared" si="37"/>
        <v>#DIV/0!</v>
      </c>
      <c r="O28" s="25" t="e">
        <f t="shared" si="37"/>
        <v>#DIV/0!</v>
      </c>
    </row>
    <row r="29" spans="1:16" x14ac:dyDescent="0.25">
      <c r="B29" s="429"/>
      <c r="C29" s="12" t="s">
        <v>95</v>
      </c>
      <c r="D29" s="7">
        <f>D25</f>
        <v>0</v>
      </c>
      <c r="E29" s="7">
        <f>D29+E25</f>
        <v>0</v>
      </c>
      <c r="F29" s="7">
        <f>E29+F25</f>
        <v>0</v>
      </c>
      <c r="G29" s="7">
        <f t="shared" ref="G29:J30" si="38">F29+G25</f>
        <v>0</v>
      </c>
      <c r="H29" s="7">
        <f t="shared" si="38"/>
        <v>0</v>
      </c>
      <c r="I29" s="7">
        <f t="shared" si="38"/>
        <v>0</v>
      </c>
      <c r="J29" s="7">
        <f t="shared" si="38"/>
        <v>0</v>
      </c>
      <c r="K29" s="7">
        <f>J29+K25</f>
        <v>0</v>
      </c>
      <c r="L29" s="7">
        <f t="shared" ref="L29:O30" si="39">K29+L25</f>
        <v>0</v>
      </c>
      <c r="M29" s="7">
        <f t="shared" si="39"/>
        <v>0</v>
      </c>
      <c r="N29" s="7">
        <f t="shared" si="39"/>
        <v>0</v>
      </c>
      <c r="O29" s="7">
        <f t="shared" si="39"/>
        <v>0</v>
      </c>
    </row>
    <row r="30" spans="1:16" ht="15.75" thickBot="1" x14ac:dyDescent="0.3">
      <c r="B30" s="430"/>
      <c r="C30" s="27" t="s">
        <v>70</v>
      </c>
      <c r="D30" s="23">
        <f>D26</f>
        <v>0</v>
      </c>
      <c r="E30" s="23">
        <f>D30+E26</f>
        <v>0</v>
      </c>
      <c r="F30" s="23">
        <f t="shared" ref="F30:I30" si="40">E30+F26</f>
        <v>0</v>
      </c>
      <c r="G30" s="23">
        <f t="shared" si="40"/>
        <v>0</v>
      </c>
      <c r="H30" s="23">
        <f t="shared" si="40"/>
        <v>0</v>
      </c>
      <c r="I30" s="23">
        <f t="shared" si="40"/>
        <v>0</v>
      </c>
      <c r="J30" s="23">
        <f t="shared" si="38"/>
        <v>0</v>
      </c>
      <c r="K30" s="23">
        <f>J30+K26</f>
        <v>0</v>
      </c>
      <c r="L30" s="23">
        <f t="shared" si="39"/>
        <v>0</v>
      </c>
      <c r="M30" s="23">
        <f t="shared" si="39"/>
        <v>0</v>
      </c>
      <c r="N30" s="23">
        <f t="shared" si="39"/>
        <v>0</v>
      </c>
      <c r="O30" s="23">
        <f t="shared" si="39"/>
        <v>0</v>
      </c>
    </row>
    <row r="31" spans="1:16" ht="15.75" x14ac:dyDescent="0.25">
      <c r="A31" s="69"/>
      <c r="B31" s="479" t="s">
        <v>20</v>
      </c>
      <c r="C31" s="32" t="s">
        <v>21</v>
      </c>
      <c r="D31" s="33">
        <f>(D13+D25)/D7</f>
        <v>0.53272493573264779</v>
      </c>
      <c r="E31" s="33">
        <f t="shared" ref="E31:O31" si="41">(E13+E25)/E7</f>
        <v>0.38622108782968284</v>
      </c>
      <c r="F31" s="33">
        <f t="shared" si="41"/>
        <v>0.21186575981096528</v>
      </c>
      <c r="G31" s="33">
        <f t="shared" si="41"/>
        <v>0.24225431094910976</v>
      </c>
      <c r="H31" s="33">
        <f t="shared" si="41"/>
        <v>0.67059983184994054</v>
      </c>
      <c r="I31" s="33" t="e">
        <f t="shared" si="41"/>
        <v>#DIV/0!</v>
      </c>
      <c r="J31" s="33">
        <f t="shared" si="41"/>
        <v>0.7278841935955549</v>
      </c>
      <c r="K31" s="33">
        <f t="shared" si="41"/>
        <v>0.22220298991518553</v>
      </c>
      <c r="L31" s="33" t="e">
        <f t="shared" si="41"/>
        <v>#DIV/0!</v>
      </c>
      <c r="M31" s="33">
        <f t="shared" si="41"/>
        <v>0.26878672183992136</v>
      </c>
      <c r="N31" s="33">
        <f t="shared" si="41"/>
        <v>0.77911187345149613</v>
      </c>
      <c r="O31" s="33">
        <f t="shared" si="41"/>
        <v>0.38542101658676731</v>
      </c>
    </row>
    <row r="32" spans="1:16" ht="15.75" x14ac:dyDescent="0.25">
      <c r="A32" s="124"/>
      <c r="B32" s="480"/>
      <c r="C32" s="34" t="s">
        <v>96</v>
      </c>
      <c r="D32" s="35">
        <f>(D17+D29)/D11</f>
        <v>0.53272493573264779</v>
      </c>
      <c r="E32" s="35">
        <f t="shared" ref="E32:O32" si="42">(E17+E29)/E11</f>
        <v>0.44993906597645378</v>
      </c>
      <c r="F32" s="35">
        <f t="shared" si="42"/>
        <v>0.32797504798464494</v>
      </c>
      <c r="G32" s="35">
        <f t="shared" si="42"/>
        <v>0.29918767496858262</v>
      </c>
      <c r="H32" s="35">
        <f t="shared" si="42"/>
        <v>0.34043217627022609</v>
      </c>
      <c r="I32" s="35">
        <f t="shared" si="42"/>
        <v>0.41698699994205024</v>
      </c>
      <c r="J32" s="35">
        <f t="shared" si="42"/>
        <v>0.44781893744072804</v>
      </c>
      <c r="K32" s="35">
        <f t="shared" si="42"/>
        <v>0.3933384369679131</v>
      </c>
      <c r="L32" s="35">
        <f t="shared" si="42"/>
        <v>0.44701899344006968</v>
      </c>
      <c r="M32" s="35">
        <f t="shared" si="42"/>
        <v>0.41825443677821644</v>
      </c>
      <c r="N32" s="35">
        <f t="shared" si="42"/>
        <v>0.43491320528950633</v>
      </c>
      <c r="O32" s="35">
        <f t="shared" si="42"/>
        <v>0.43019635062292849</v>
      </c>
    </row>
    <row r="33" spans="1:16" ht="16.5" thickBot="1" x14ac:dyDescent="0.3">
      <c r="A33" s="180"/>
      <c r="B33" s="481"/>
      <c r="C33" s="36" t="s">
        <v>71</v>
      </c>
      <c r="D33" s="37">
        <f>(D18+D30)/D12</f>
        <v>0.45352631578947367</v>
      </c>
      <c r="E33" s="37">
        <f t="shared" ref="E33:O33" si="43">(E18+E30)/E12</f>
        <v>0.45061842105263156</v>
      </c>
      <c r="F33" s="37">
        <f t="shared" si="43"/>
        <v>0.45026315789473687</v>
      </c>
      <c r="G33" s="37">
        <f t="shared" si="43"/>
        <v>0.45488157894736841</v>
      </c>
      <c r="H33" s="37">
        <f t="shared" si="43"/>
        <v>0.45828421052631579</v>
      </c>
      <c r="I33" s="37">
        <f t="shared" si="43"/>
        <v>0.46990350877192982</v>
      </c>
      <c r="J33" s="37">
        <f t="shared" si="43"/>
        <v>0.4768421052631579</v>
      </c>
      <c r="K33" s="37">
        <f t="shared" si="43"/>
        <v>0.48253947368421052</v>
      </c>
      <c r="L33" s="37">
        <f t="shared" si="43"/>
        <v>0.49079824561403507</v>
      </c>
      <c r="M33" s="37">
        <f t="shared" si="43"/>
        <v>0.49017894736842105</v>
      </c>
      <c r="N33" s="37">
        <f t="shared" si="43"/>
        <v>0.49402870813397132</v>
      </c>
      <c r="O33" s="37">
        <f t="shared" si="43"/>
        <v>0.49272587719298244</v>
      </c>
    </row>
    <row r="34" spans="1:16" ht="15.75" customHeight="1" x14ac:dyDescent="0.25">
      <c r="A34" s="415" t="s">
        <v>15</v>
      </c>
      <c r="B34" s="417" t="s">
        <v>286</v>
      </c>
      <c r="C34" s="364" t="s">
        <v>92</v>
      </c>
      <c r="D34" s="353">
        <f>+PIGOO!B80</f>
        <v>14494</v>
      </c>
      <c r="E34" s="353">
        <f>+PIGOO!C80</f>
        <v>14162</v>
      </c>
      <c r="F34" s="353">
        <f>+PIGOO!D80</f>
        <v>13888</v>
      </c>
      <c r="G34" s="353">
        <f>+PIGOO!E80</f>
        <v>14939</v>
      </c>
      <c r="H34" s="353">
        <f>+PIGOO!F80</f>
        <v>15277</v>
      </c>
      <c r="I34" s="353">
        <f>+PIGOO!G80</f>
        <v>15801</v>
      </c>
      <c r="J34" s="353">
        <f>+PIGOO!H80</f>
        <v>0</v>
      </c>
      <c r="K34" s="353">
        <f>+PIGOO!I80</f>
        <v>13852</v>
      </c>
      <c r="L34" s="353">
        <f>+PIGOO!J80</f>
        <v>18569</v>
      </c>
      <c r="M34" s="353">
        <f>+PIGOO!K80</f>
        <v>13038</v>
      </c>
      <c r="N34" s="353">
        <f>+PIGOO!L80</f>
        <v>15039</v>
      </c>
      <c r="O34" s="353">
        <f>+PIGOO!M80</f>
        <v>16767</v>
      </c>
      <c r="P34" s="359">
        <v>3</v>
      </c>
    </row>
    <row r="35" spans="1:16" ht="15.75" thickBot="1" x14ac:dyDescent="0.3">
      <c r="A35" s="416"/>
      <c r="B35" s="418"/>
      <c r="C35" s="190" t="s">
        <v>69</v>
      </c>
      <c r="D35" s="186">
        <v>15511</v>
      </c>
      <c r="E35" s="185">
        <v>13207</v>
      </c>
      <c r="F35" s="185">
        <v>11975</v>
      </c>
      <c r="G35" s="185">
        <v>12761</v>
      </c>
      <c r="H35" s="185">
        <v>13476</v>
      </c>
      <c r="I35" s="185">
        <v>15106</v>
      </c>
      <c r="J35" s="185">
        <v>14179</v>
      </c>
      <c r="K35" s="185">
        <v>12784</v>
      </c>
      <c r="L35" s="185">
        <v>13890</v>
      </c>
      <c r="M35" s="185">
        <v>11495</v>
      </c>
      <c r="N35" s="185">
        <v>13628</v>
      </c>
      <c r="O35" s="186">
        <v>10905</v>
      </c>
    </row>
    <row r="36" spans="1:16" x14ac:dyDescent="0.25">
      <c r="B36" s="418"/>
      <c r="C36" s="182" t="s">
        <v>93</v>
      </c>
      <c r="D36" s="125">
        <f>(D34/D35)-1</f>
        <v>-6.5566372251950278E-2</v>
      </c>
      <c r="E36" s="125">
        <f t="shared" ref="E36:O36" si="44">(E34/E35)-1</f>
        <v>7.2310138562883264E-2</v>
      </c>
      <c r="F36" s="125">
        <f t="shared" si="44"/>
        <v>0.15974947807933204</v>
      </c>
      <c r="G36" s="125">
        <f t="shared" si="44"/>
        <v>0.17067627928845708</v>
      </c>
      <c r="H36" s="125">
        <f t="shared" si="44"/>
        <v>0.13364499851588008</v>
      </c>
      <c r="I36" s="125">
        <f t="shared" si="44"/>
        <v>4.6008208658811167E-2</v>
      </c>
      <c r="J36" s="125">
        <f t="shared" si="44"/>
        <v>-1</v>
      </c>
      <c r="K36" s="125">
        <f t="shared" si="44"/>
        <v>8.3541927409261474E-2</v>
      </c>
      <c r="L36" s="125">
        <f t="shared" si="44"/>
        <v>0.33686105111591069</v>
      </c>
      <c r="M36" s="125">
        <f t="shared" si="44"/>
        <v>0.13423227490213141</v>
      </c>
      <c r="N36" s="125">
        <f t="shared" si="44"/>
        <v>0.10353683592603469</v>
      </c>
      <c r="O36" s="125">
        <f t="shared" si="44"/>
        <v>0.5375515818431913</v>
      </c>
    </row>
    <row r="37" spans="1:16" x14ac:dyDescent="0.25">
      <c r="B37" s="418"/>
      <c r="C37" s="185" t="s">
        <v>94</v>
      </c>
      <c r="D37" s="157">
        <f>(D38/D39)-1</f>
        <v>-6.5566372251950278E-2</v>
      </c>
      <c r="E37" s="157">
        <f t="shared" ref="E37:O37" si="45">(E38/E39)-1</f>
        <v>-2.1589247162058234E-3</v>
      </c>
      <c r="F37" s="157">
        <f t="shared" si="45"/>
        <v>4.5486938785540554E-2</v>
      </c>
      <c r="G37" s="157">
        <f t="shared" si="45"/>
        <v>7.5373218094062278E-2</v>
      </c>
      <c r="H37" s="157">
        <f t="shared" si="45"/>
        <v>8.7105931570297335E-2</v>
      </c>
      <c r="I37" s="157">
        <f t="shared" si="45"/>
        <v>7.9538251499341683E-2</v>
      </c>
      <c r="J37" s="157">
        <f t="shared" si="45"/>
        <v>-7.9551005560463572E-2</v>
      </c>
      <c r="K37" s="157">
        <f t="shared" si="45"/>
        <v>-6.0422572684153075E-2</v>
      </c>
      <c r="L37" s="157">
        <f t="shared" si="45"/>
        <v>-1.5518069151836178E-2</v>
      </c>
      <c r="M37" s="157">
        <f t="shared" si="45"/>
        <v>-2.7086557923562404E-3</v>
      </c>
      <c r="N37" s="157">
        <f t="shared" si="45"/>
        <v>7.0737507769640384E-3</v>
      </c>
      <c r="O37" s="157">
        <f t="shared" si="45"/>
        <v>4.3475524959570189E-2</v>
      </c>
    </row>
    <row r="38" spans="1:16" x14ac:dyDescent="0.25">
      <c r="B38" s="418"/>
      <c r="C38" s="182" t="s">
        <v>95</v>
      </c>
      <c r="D38" s="184">
        <f>+D34</f>
        <v>14494</v>
      </c>
      <c r="E38" s="182">
        <f>+D38+E34</f>
        <v>28656</v>
      </c>
      <c r="F38" s="182">
        <f t="shared" ref="F38:O38" si="46">+E38+F34</f>
        <v>42544</v>
      </c>
      <c r="G38" s="182">
        <f t="shared" si="46"/>
        <v>57483</v>
      </c>
      <c r="H38" s="182">
        <f t="shared" si="46"/>
        <v>72760</v>
      </c>
      <c r="I38" s="182">
        <f t="shared" si="46"/>
        <v>88561</v>
      </c>
      <c r="J38" s="182">
        <f t="shared" si="46"/>
        <v>88561</v>
      </c>
      <c r="K38" s="182">
        <f t="shared" si="46"/>
        <v>102413</v>
      </c>
      <c r="L38" s="182">
        <f t="shared" si="46"/>
        <v>120982</v>
      </c>
      <c r="M38" s="182">
        <f t="shared" si="46"/>
        <v>134020</v>
      </c>
      <c r="N38" s="182">
        <f t="shared" si="46"/>
        <v>149059</v>
      </c>
      <c r="O38" s="184">
        <f t="shared" si="46"/>
        <v>165826</v>
      </c>
    </row>
    <row r="39" spans="1:16" ht="15.75" thickBot="1" x14ac:dyDescent="0.3">
      <c r="B39" s="418"/>
      <c r="C39" s="185" t="s">
        <v>70</v>
      </c>
      <c r="D39" s="187">
        <f>+D35</f>
        <v>15511</v>
      </c>
      <c r="E39" s="185">
        <f>+D39+E35</f>
        <v>28718</v>
      </c>
      <c r="F39" s="185">
        <f t="shared" ref="F39:O39" si="47">+E39+F35</f>
        <v>40693</v>
      </c>
      <c r="G39" s="185">
        <f t="shared" si="47"/>
        <v>53454</v>
      </c>
      <c r="H39" s="185">
        <f t="shared" si="47"/>
        <v>66930</v>
      </c>
      <c r="I39" s="185">
        <f t="shared" si="47"/>
        <v>82036</v>
      </c>
      <c r="J39" s="185">
        <f t="shared" si="47"/>
        <v>96215</v>
      </c>
      <c r="K39" s="185">
        <f t="shared" si="47"/>
        <v>108999</v>
      </c>
      <c r="L39" s="185">
        <f t="shared" si="47"/>
        <v>122889</v>
      </c>
      <c r="M39" s="185">
        <f t="shared" si="47"/>
        <v>134384</v>
      </c>
      <c r="N39" s="185">
        <f t="shared" si="47"/>
        <v>148012</v>
      </c>
      <c r="O39" s="187">
        <f t="shared" si="47"/>
        <v>158917</v>
      </c>
    </row>
    <row r="40" spans="1:16" ht="15" customHeight="1" x14ac:dyDescent="0.25">
      <c r="B40" s="417" t="s">
        <v>287</v>
      </c>
      <c r="C40" s="364" t="s">
        <v>92</v>
      </c>
      <c r="D40" s="353">
        <f>+PIGOO!B81</f>
        <v>3033</v>
      </c>
      <c r="E40" s="353">
        <f>+PIGOO!C81</f>
        <v>1945</v>
      </c>
      <c r="F40" s="353">
        <f>+PIGOO!D81</f>
        <v>2586</v>
      </c>
      <c r="G40" s="353">
        <f>+PIGOO!E81</f>
        <v>2440</v>
      </c>
      <c r="H40" s="353">
        <f>+PIGOO!F81</f>
        <v>1932</v>
      </c>
      <c r="I40" s="353">
        <f>+PIGOO!G81</f>
        <v>2331</v>
      </c>
      <c r="J40" s="353">
        <f>+PIGOO!H81</f>
        <v>0</v>
      </c>
      <c r="K40" s="353">
        <f>+PIGOO!I81</f>
        <v>1451</v>
      </c>
      <c r="L40" s="353">
        <f>+PIGOO!J81</f>
        <v>2732</v>
      </c>
      <c r="M40" s="353">
        <f>+PIGOO!K81</f>
        <v>2090</v>
      </c>
      <c r="N40" s="353">
        <f>+PIGOO!L81</f>
        <v>1943</v>
      </c>
      <c r="O40" s="353">
        <f>+PIGOO!M81</f>
        <v>2370</v>
      </c>
      <c r="P40" s="359">
        <v>4</v>
      </c>
    </row>
    <row r="41" spans="1:16" x14ac:dyDescent="0.25">
      <c r="B41" s="418"/>
      <c r="C41" s="190" t="s">
        <v>69</v>
      </c>
      <c r="D41" s="186">
        <v>1465</v>
      </c>
      <c r="E41" s="185">
        <v>2782</v>
      </c>
      <c r="F41" s="185">
        <v>1790</v>
      </c>
      <c r="G41" s="185">
        <v>3225</v>
      </c>
      <c r="H41" s="185">
        <v>3119</v>
      </c>
      <c r="I41" s="185">
        <v>4385</v>
      </c>
      <c r="J41" s="185">
        <v>3961</v>
      </c>
      <c r="K41" s="185">
        <v>3566</v>
      </c>
      <c r="L41" s="185">
        <v>4543</v>
      </c>
      <c r="M41" s="185">
        <v>3752</v>
      </c>
      <c r="N41" s="185">
        <v>3978</v>
      </c>
      <c r="O41" s="186">
        <v>2955</v>
      </c>
    </row>
    <row r="42" spans="1:16" x14ac:dyDescent="0.25">
      <c r="B42" s="418"/>
      <c r="C42" s="182" t="s">
        <v>93</v>
      </c>
      <c r="D42" s="125">
        <f>(D40/D41)-1</f>
        <v>1.0703071672354949</v>
      </c>
      <c r="E42" s="125">
        <f t="shared" ref="E42:O42" si="48">(E40/E41)-1</f>
        <v>-0.30086268871315602</v>
      </c>
      <c r="F42" s="125">
        <f t="shared" si="48"/>
        <v>0.44469273743016768</v>
      </c>
      <c r="G42" s="125">
        <f t="shared" si="48"/>
        <v>-0.24341085271317831</v>
      </c>
      <c r="H42" s="125">
        <f t="shared" si="48"/>
        <v>-0.38057069573581281</v>
      </c>
      <c r="I42" s="125">
        <f t="shared" si="48"/>
        <v>-0.46841505131128847</v>
      </c>
      <c r="J42" s="125">
        <f t="shared" si="48"/>
        <v>-1</v>
      </c>
      <c r="K42" s="125">
        <f t="shared" si="48"/>
        <v>-0.59310151430173863</v>
      </c>
      <c r="L42" s="125">
        <f t="shared" si="48"/>
        <v>-0.39863526304204266</v>
      </c>
      <c r="M42" s="125">
        <f t="shared" si="48"/>
        <v>-0.44296375266524524</v>
      </c>
      <c r="N42" s="125">
        <f t="shared" si="48"/>
        <v>-0.51156359979889388</v>
      </c>
      <c r="O42" s="125">
        <f t="shared" si="48"/>
        <v>-0.19796954314720816</v>
      </c>
    </row>
    <row r="43" spans="1:16" x14ac:dyDescent="0.25">
      <c r="B43" s="418"/>
      <c r="C43" s="185" t="s">
        <v>94</v>
      </c>
      <c r="D43" s="157">
        <f>(D44/D45)-1</f>
        <v>1.0703071672354949</v>
      </c>
      <c r="E43" s="157">
        <f t="shared" ref="E43:O43" si="49">(E44/E45)-1</f>
        <v>0.17212149752766659</v>
      </c>
      <c r="F43" s="157">
        <f t="shared" si="49"/>
        <v>0.25294020208712942</v>
      </c>
      <c r="G43" s="157">
        <f t="shared" si="49"/>
        <v>8.0112286763118101E-2</v>
      </c>
      <c r="H43" s="157">
        <f t="shared" si="49"/>
        <v>-3.5942169453194395E-2</v>
      </c>
      <c r="I43" s="157">
        <f t="shared" si="49"/>
        <v>-0.14905165215316707</v>
      </c>
      <c r="J43" s="157">
        <f t="shared" si="49"/>
        <v>-0.31167076759781931</v>
      </c>
      <c r="K43" s="157">
        <f t="shared" si="49"/>
        <v>-0.35298234059194011</v>
      </c>
      <c r="L43" s="157">
        <f t="shared" si="49"/>
        <v>-0.36017478152309612</v>
      </c>
      <c r="M43" s="157">
        <f t="shared" si="49"/>
        <v>-0.36970664048115875</v>
      </c>
      <c r="N43" s="157">
        <f t="shared" si="49"/>
        <v>-0.385139200350052</v>
      </c>
      <c r="O43" s="157">
        <f t="shared" si="49"/>
        <v>-0.37114445484679026</v>
      </c>
    </row>
    <row r="44" spans="1:16" x14ac:dyDescent="0.25">
      <c r="B44" s="418"/>
      <c r="C44" s="182" t="s">
        <v>95</v>
      </c>
      <c r="D44" s="184">
        <f>+D40</f>
        <v>3033</v>
      </c>
      <c r="E44" s="182">
        <f>+D44+E40</f>
        <v>4978</v>
      </c>
      <c r="F44" s="182">
        <f t="shared" ref="F44:O44" si="50">+E44+F40</f>
        <v>7564</v>
      </c>
      <c r="G44" s="182">
        <f t="shared" si="50"/>
        <v>10004</v>
      </c>
      <c r="H44" s="182">
        <f t="shared" si="50"/>
        <v>11936</v>
      </c>
      <c r="I44" s="182">
        <f t="shared" si="50"/>
        <v>14267</v>
      </c>
      <c r="J44" s="182">
        <f t="shared" si="50"/>
        <v>14267</v>
      </c>
      <c r="K44" s="182">
        <f t="shared" si="50"/>
        <v>15718</v>
      </c>
      <c r="L44" s="182">
        <f t="shared" si="50"/>
        <v>18450</v>
      </c>
      <c r="M44" s="182">
        <f t="shared" si="50"/>
        <v>20540</v>
      </c>
      <c r="N44" s="182">
        <f t="shared" si="50"/>
        <v>22483</v>
      </c>
      <c r="O44" s="184">
        <f t="shared" si="50"/>
        <v>24853</v>
      </c>
    </row>
    <row r="45" spans="1:16" ht="15.75" thickBot="1" x14ac:dyDescent="0.3">
      <c r="B45" s="418"/>
      <c r="C45" s="185" t="s">
        <v>70</v>
      </c>
      <c r="D45" s="187">
        <f>+D41</f>
        <v>1465</v>
      </c>
      <c r="E45" s="185">
        <f>+D45+E41</f>
        <v>4247</v>
      </c>
      <c r="F45" s="185">
        <f t="shared" ref="F45:O45" si="51">+E45+F41</f>
        <v>6037</v>
      </c>
      <c r="G45" s="185">
        <f t="shared" si="51"/>
        <v>9262</v>
      </c>
      <c r="H45" s="185">
        <f t="shared" si="51"/>
        <v>12381</v>
      </c>
      <c r="I45" s="185">
        <f t="shared" si="51"/>
        <v>16766</v>
      </c>
      <c r="J45" s="185">
        <f t="shared" si="51"/>
        <v>20727</v>
      </c>
      <c r="K45" s="185">
        <f t="shared" si="51"/>
        <v>24293</v>
      </c>
      <c r="L45" s="185">
        <f t="shared" si="51"/>
        <v>28836</v>
      </c>
      <c r="M45" s="185">
        <f t="shared" si="51"/>
        <v>32588</v>
      </c>
      <c r="N45" s="185">
        <f t="shared" si="51"/>
        <v>36566</v>
      </c>
      <c r="O45" s="187">
        <f t="shared" si="51"/>
        <v>39521</v>
      </c>
    </row>
    <row r="46" spans="1:16" x14ac:dyDescent="0.25">
      <c r="A46" s="415" t="s">
        <v>15</v>
      </c>
      <c r="B46" s="417" t="s">
        <v>78</v>
      </c>
      <c r="C46" s="189" t="s">
        <v>92</v>
      </c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3"/>
      <c r="O46" s="183"/>
    </row>
    <row r="47" spans="1:16" ht="15.75" thickBot="1" x14ac:dyDescent="0.3">
      <c r="A47" s="416"/>
      <c r="B47" s="418"/>
      <c r="C47" s="190" t="s">
        <v>69</v>
      </c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6"/>
      <c r="O47" s="186"/>
    </row>
    <row r="48" spans="1:16" x14ac:dyDescent="0.25">
      <c r="B48" s="418"/>
      <c r="C48" s="182" t="s">
        <v>93</v>
      </c>
      <c r="D48" s="125" t="e">
        <f>(D46/D47)-1</f>
        <v>#DIV/0!</v>
      </c>
      <c r="E48" s="125" t="e">
        <f t="shared" ref="E48:O48" si="52">(E46/E47)-1</f>
        <v>#DIV/0!</v>
      </c>
      <c r="F48" s="125" t="e">
        <f t="shared" si="52"/>
        <v>#DIV/0!</v>
      </c>
      <c r="G48" s="125" t="e">
        <f t="shared" si="52"/>
        <v>#DIV/0!</v>
      </c>
      <c r="H48" s="125" t="e">
        <f t="shared" si="52"/>
        <v>#DIV/0!</v>
      </c>
      <c r="I48" s="125" t="e">
        <f t="shared" si="52"/>
        <v>#DIV/0!</v>
      </c>
      <c r="J48" s="125" t="e">
        <f t="shared" si="52"/>
        <v>#DIV/0!</v>
      </c>
      <c r="K48" s="125" t="e">
        <f t="shared" si="52"/>
        <v>#DIV/0!</v>
      </c>
      <c r="L48" s="125" t="e">
        <f t="shared" si="52"/>
        <v>#DIV/0!</v>
      </c>
      <c r="M48" s="125" t="e">
        <f t="shared" si="52"/>
        <v>#DIV/0!</v>
      </c>
      <c r="N48" s="125" t="e">
        <f t="shared" si="52"/>
        <v>#DIV/0!</v>
      </c>
      <c r="O48" s="125" t="e">
        <f t="shared" si="52"/>
        <v>#DIV/0!</v>
      </c>
    </row>
    <row r="49" spans="1:16" x14ac:dyDescent="0.25">
      <c r="B49" s="418"/>
      <c r="C49" s="185" t="s">
        <v>94</v>
      </c>
      <c r="D49" s="157" t="e">
        <f>(D50/D51)-1</f>
        <v>#DIV/0!</v>
      </c>
      <c r="E49" s="157" t="e">
        <f t="shared" ref="E49:O49" si="53">(E50/E51)-1</f>
        <v>#DIV/0!</v>
      </c>
      <c r="F49" s="157" t="e">
        <f t="shared" si="53"/>
        <v>#DIV/0!</v>
      </c>
      <c r="G49" s="157" t="e">
        <f t="shared" si="53"/>
        <v>#DIV/0!</v>
      </c>
      <c r="H49" s="157" t="e">
        <f t="shared" si="53"/>
        <v>#DIV/0!</v>
      </c>
      <c r="I49" s="157" t="e">
        <f t="shared" si="53"/>
        <v>#DIV/0!</v>
      </c>
      <c r="J49" s="157" t="e">
        <f t="shared" si="53"/>
        <v>#DIV/0!</v>
      </c>
      <c r="K49" s="157" t="e">
        <f t="shared" si="53"/>
        <v>#DIV/0!</v>
      </c>
      <c r="L49" s="157" t="e">
        <f t="shared" si="53"/>
        <v>#DIV/0!</v>
      </c>
      <c r="M49" s="157" t="e">
        <f t="shared" si="53"/>
        <v>#DIV/0!</v>
      </c>
      <c r="N49" s="157" t="e">
        <f t="shared" si="53"/>
        <v>#DIV/0!</v>
      </c>
      <c r="O49" s="157" t="e">
        <f t="shared" si="53"/>
        <v>#DIV/0!</v>
      </c>
    </row>
    <row r="50" spans="1:16" x14ac:dyDescent="0.25">
      <c r="B50" s="418"/>
      <c r="C50" s="182" t="s">
        <v>95</v>
      </c>
      <c r="D50" s="182">
        <f>+D46</f>
        <v>0</v>
      </c>
      <c r="E50" s="182">
        <f>+D50+E46</f>
        <v>0</v>
      </c>
      <c r="F50" s="182">
        <f t="shared" ref="F50:O50" si="54">+E50+F46</f>
        <v>0</v>
      </c>
      <c r="G50" s="182">
        <f t="shared" si="54"/>
        <v>0</v>
      </c>
      <c r="H50" s="182">
        <f t="shared" si="54"/>
        <v>0</v>
      </c>
      <c r="I50" s="182">
        <f t="shared" si="54"/>
        <v>0</v>
      </c>
      <c r="J50" s="182">
        <f t="shared" si="54"/>
        <v>0</v>
      </c>
      <c r="K50" s="182">
        <f t="shared" si="54"/>
        <v>0</v>
      </c>
      <c r="L50" s="182">
        <f t="shared" si="54"/>
        <v>0</v>
      </c>
      <c r="M50" s="182">
        <f t="shared" si="54"/>
        <v>0</v>
      </c>
      <c r="N50" s="182">
        <f t="shared" si="54"/>
        <v>0</v>
      </c>
      <c r="O50" s="184">
        <f t="shared" si="54"/>
        <v>0</v>
      </c>
    </row>
    <row r="51" spans="1:16" ht="15.75" thickBot="1" x14ac:dyDescent="0.3">
      <c r="B51" s="418"/>
      <c r="C51" s="188" t="s">
        <v>70</v>
      </c>
      <c r="D51" s="188">
        <f>+D47</f>
        <v>0</v>
      </c>
      <c r="E51" s="188">
        <f>+D51+E47</f>
        <v>0</v>
      </c>
      <c r="F51" s="188">
        <f t="shared" ref="F51:O51" si="55">+E51+F47</f>
        <v>0</v>
      </c>
      <c r="G51" s="188">
        <f t="shared" si="55"/>
        <v>0</v>
      </c>
      <c r="H51" s="188">
        <f t="shared" si="55"/>
        <v>0</v>
      </c>
      <c r="I51" s="188">
        <f t="shared" si="55"/>
        <v>0</v>
      </c>
      <c r="J51" s="188">
        <f t="shared" si="55"/>
        <v>0</v>
      </c>
      <c r="K51" s="188">
        <f t="shared" si="55"/>
        <v>0</v>
      </c>
      <c r="L51" s="188">
        <f t="shared" si="55"/>
        <v>0</v>
      </c>
      <c r="M51" s="188">
        <f t="shared" si="55"/>
        <v>0</v>
      </c>
      <c r="N51" s="188">
        <f t="shared" si="55"/>
        <v>0</v>
      </c>
      <c r="O51" s="187">
        <f t="shared" si="55"/>
        <v>0</v>
      </c>
    </row>
    <row r="52" spans="1:16" ht="15.75" x14ac:dyDescent="0.25">
      <c r="A52" s="69"/>
      <c r="B52" s="479" t="s">
        <v>24</v>
      </c>
      <c r="C52" s="32" t="s">
        <v>21</v>
      </c>
      <c r="D52" s="179">
        <f>+D34/D13</f>
        <v>0.69941610770641316</v>
      </c>
      <c r="E52" s="179">
        <f t="shared" ref="E52:O52" si="56">+E34/E13</f>
        <v>0.72551229508196724</v>
      </c>
      <c r="F52" s="179">
        <f t="shared" si="56"/>
        <v>0.69771414217533279</v>
      </c>
      <c r="G52" s="179">
        <f t="shared" si="56"/>
        <v>0.66501958689458684</v>
      </c>
      <c r="H52" s="179">
        <f t="shared" si="56"/>
        <v>0.66045566555704471</v>
      </c>
      <c r="I52" s="179">
        <f t="shared" si="56"/>
        <v>0.66449388115564156</v>
      </c>
      <c r="J52" s="179">
        <f t="shared" si="56"/>
        <v>0</v>
      </c>
      <c r="K52" s="179">
        <f t="shared" si="56"/>
        <v>0.5679143946537657</v>
      </c>
      <c r="L52" s="179">
        <f t="shared" si="56"/>
        <v>0.76096221621178595</v>
      </c>
      <c r="M52" s="179">
        <f t="shared" si="56"/>
        <v>0.55447818321000253</v>
      </c>
      <c r="N52" s="179">
        <f t="shared" si="56"/>
        <v>0.73576320939334638</v>
      </c>
      <c r="O52" s="179">
        <f t="shared" si="56"/>
        <v>0.72666204385888877</v>
      </c>
    </row>
    <row r="53" spans="1:16" ht="15.75" x14ac:dyDescent="0.25">
      <c r="A53" s="124"/>
      <c r="B53" s="480"/>
      <c r="C53" s="34" t="s">
        <v>96</v>
      </c>
      <c r="D53" s="35">
        <f>+D38/D17</f>
        <v>0.69941610770641316</v>
      </c>
      <c r="E53" s="35">
        <f t="shared" ref="E53:O53" si="57">+E38/E17</f>
        <v>0.71207414954153514</v>
      </c>
      <c r="F53" s="35">
        <f t="shared" si="57"/>
        <v>0.70732193921659903</v>
      </c>
      <c r="G53" s="35">
        <f t="shared" si="57"/>
        <v>0.69581900934488938</v>
      </c>
      <c r="H53" s="35">
        <f t="shared" si="57"/>
        <v>0.68808337194897062</v>
      </c>
      <c r="I53" s="35">
        <f t="shared" si="57"/>
        <v>0.6837525671314526</v>
      </c>
      <c r="J53" s="35">
        <f t="shared" si="57"/>
        <v>0.57353703080071494</v>
      </c>
      <c r="K53" s="35">
        <f t="shared" si="57"/>
        <v>0.57277003182273223</v>
      </c>
      <c r="L53" s="35">
        <f t="shared" si="57"/>
        <v>0.59536920843483176</v>
      </c>
      <c r="M53" s="35">
        <f t="shared" si="57"/>
        <v>0.59112822480691962</v>
      </c>
      <c r="N53" s="35">
        <f t="shared" si="57"/>
        <v>0.60308950918234816</v>
      </c>
      <c r="O53" s="35">
        <f t="shared" si="57"/>
        <v>0.61364082106922546</v>
      </c>
    </row>
    <row r="54" spans="1:16" ht="16.5" thickBot="1" x14ac:dyDescent="0.3">
      <c r="A54" s="180"/>
      <c r="B54" s="481"/>
      <c r="C54" s="36" t="s">
        <v>71</v>
      </c>
      <c r="D54" s="37">
        <f>+D39/D18</f>
        <v>0.90002320993385165</v>
      </c>
      <c r="E54" s="37">
        <f t="shared" ref="E54:O54" si="58">+E39/E18</f>
        <v>0.83855520191549626</v>
      </c>
      <c r="F54" s="37">
        <f t="shared" si="58"/>
        <v>0.79277225793882722</v>
      </c>
      <c r="G54" s="37">
        <f t="shared" si="58"/>
        <v>0.77310462526394952</v>
      </c>
      <c r="H54" s="37">
        <f t="shared" si="58"/>
        <v>0.76865654500769465</v>
      </c>
      <c r="I54" s="37">
        <f t="shared" si="58"/>
        <v>0.76570404525005131</v>
      </c>
      <c r="J54" s="37">
        <f t="shared" si="58"/>
        <v>0.75855408388520973</v>
      </c>
      <c r="K54" s="37">
        <f t="shared" si="58"/>
        <v>0.74304665557767291</v>
      </c>
      <c r="L54" s="37">
        <f t="shared" si="58"/>
        <v>0.7321227502636235</v>
      </c>
      <c r="M54" s="37">
        <f t="shared" si="58"/>
        <v>0.72145510769429</v>
      </c>
      <c r="N54" s="37">
        <f t="shared" si="58"/>
        <v>0.71675124937047219</v>
      </c>
      <c r="O54" s="37">
        <f t="shared" si="58"/>
        <v>0.707294276825572</v>
      </c>
    </row>
    <row r="55" spans="1:16" x14ac:dyDescent="0.25">
      <c r="A55" s="433" t="s">
        <v>22</v>
      </c>
      <c r="B55" s="452" t="s">
        <v>86</v>
      </c>
      <c r="C55" s="352" t="s">
        <v>92</v>
      </c>
      <c r="D55" s="18">
        <f>+PIGOO!B93+PIGOO!B94+PIGOO!B95</f>
        <v>398908.7</v>
      </c>
      <c r="E55" s="18">
        <f>+PIGOO!C93+PIGOO!C94+PIGOO!C95</f>
        <v>393444.70999999996</v>
      </c>
      <c r="F55" s="18">
        <f>+PIGOO!D93+PIGOO!D94+PIGOO!D95</f>
        <v>392130.31</v>
      </c>
      <c r="G55" s="18">
        <f>+PIGOO!E93+PIGOO!E94+PIGOO!E95</f>
        <v>419310.67</v>
      </c>
      <c r="H55" s="18">
        <f>+PIGOO!F93+PIGOO!F94+PIGOO!F95</f>
        <v>428701.34</v>
      </c>
      <c r="I55" s="18">
        <f>+PIGOO!G93+PIGOO!G94+PIGOO!G95</f>
        <v>430853.73</v>
      </c>
      <c r="J55" s="18">
        <f>+PIGOO!H93+PIGOO!H94+PIGOO!H95</f>
        <v>440064.68000000005</v>
      </c>
      <c r="K55" s="18">
        <f>+PIGOO!I93+PIGOO!I94+PIGOO!I95</f>
        <v>453415.62</v>
      </c>
      <c r="L55" s="18">
        <f>+PIGOO!J93+PIGOO!J94+PIGOO!J95</f>
        <v>466692.35</v>
      </c>
      <c r="M55" s="18">
        <f>+PIGOO!K93+PIGOO!K94+PIGOO!K95</f>
        <v>454073.89</v>
      </c>
      <c r="N55" s="18">
        <f>+PIGOO!L93+PIGOO!L94+PIGOO!L95</f>
        <v>424566.36</v>
      </c>
      <c r="O55" s="18">
        <f>+PIGOO!M93+PIGOO!M94+PIGOO!M95</f>
        <v>461911.4</v>
      </c>
      <c r="P55" s="359">
        <v>5</v>
      </c>
    </row>
    <row r="56" spans="1:16" ht="15.75" thickBot="1" x14ac:dyDescent="0.3">
      <c r="A56" s="434"/>
      <c r="B56" s="444"/>
      <c r="C56" s="164" t="s">
        <v>69</v>
      </c>
      <c r="D56" s="39">
        <v>223755.54</v>
      </c>
      <c r="E56" s="40">
        <v>261133.25</v>
      </c>
      <c r="F56" s="40">
        <v>255488.48</v>
      </c>
      <c r="G56" s="40">
        <v>260511.25</v>
      </c>
      <c r="H56" s="40">
        <v>263380.19</v>
      </c>
      <c r="I56" s="40">
        <v>285157.37</v>
      </c>
      <c r="J56" s="40">
        <v>284331.34000000003</v>
      </c>
      <c r="K56" s="41">
        <v>292901.40999999997</v>
      </c>
      <c r="L56" s="40">
        <v>308264.07</v>
      </c>
      <c r="M56" s="40">
        <v>281499.87</v>
      </c>
      <c r="N56" s="40">
        <v>306149.33</v>
      </c>
      <c r="O56" s="40">
        <v>284650.26</v>
      </c>
    </row>
    <row r="57" spans="1:16" x14ac:dyDescent="0.25">
      <c r="B57" s="444"/>
      <c r="C57" s="12" t="s">
        <v>93</v>
      </c>
      <c r="D57" s="13">
        <f>(D55/D56)-1</f>
        <v>0.78278803733753355</v>
      </c>
      <c r="E57" s="13">
        <f t="shared" ref="E57:J57" si="59">(E55/E56)-1</f>
        <v>0.50668178027884214</v>
      </c>
      <c r="F57" s="13">
        <f t="shared" si="59"/>
        <v>0.53482579723359724</v>
      </c>
      <c r="G57" s="13">
        <f t="shared" si="59"/>
        <v>0.60956837756526827</v>
      </c>
      <c r="H57" s="13">
        <f t="shared" si="59"/>
        <v>0.62769014632421682</v>
      </c>
      <c r="I57" s="13">
        <f t="shared" si="59"/>
        <v>0.51093317349644507</v>
      </c>
      <c r="J57" s="13">
        <f t="shared" si="59"/>
        <v>0.54771781401234221</v>
      </c>
      <c r="K57" s="14">
        <f>(K55/K56)-1</f>
        <v>0.54801446671082954</v>
      </c>
      <c r="L57" s="13">
        <f t="shared" ref="L57:O57" si="60">(L55/L56)-1</f>
        <v>0.51393689832227274</v>
      </c>
      <c r="M57" s="13">
        <f t="shared" si="60"/>
        <v>0.61305186393158917</v>
      </c>
      <c r="N57" s="13">
        <f t="shared" si="60"/>
        <v>0.38679499968201769</v>
      </c>
      <c r="O57" s="13">
        <f t="shared" si="60"/>
        <v>0.62273310412574356</v>
      </c>
    </row>
    <row r="58" spans="1:16" x14ac:dyDescent="0.25">
      <c r="B58" s="444"/>
      <c r="C58" s="21" t="s">
        <v>94</v>
      </c>
      <c r="D58" s="25">
        <f>(D59/D60)-1</f>
        <v>0.78278803733753355</v>
      </c>
      <c r="E58" s="25">
        <f t="shared" ref="E58:I58" si="61">(E59/E60)-1</f>
        <v>0.63409306698964896</v>
      </c>
      <c r="F58" s="25">
        <f t="shared" si="61"/>
        <v>0.59983803932824675</v>
      </c>
      <c r="G58" s="25">
        <f t="shared" si="61"/>
        <v>0.60237065162861492</v>
      </c>
      <c r="H58" s="25">
        <f t="shared" si="61"/>
        <v>0.60764536361894139</v>
      </c>
      <c r="I58" s="25">
        <f t="shared" si="61"/>
        <v>0.58984639009045203</v>
      </c>
      <c r="J58" s="25">
        <f t="shared" ref="J58" si="62">(J59/J60)-1</f>
        <v>0.58331418776208688</v>
      </c>
      <c r="K58" s="26">
        <f>(K59/K60)-1</f>
        <v>0.57845241213420207</v>
      </c>
      <c r="L58" s="25">
        <f t="shared" ref="L58:O58" si="63">(L59/L60)-1</f>
        <v>0.5702846730793818</v>
      </c>
      <c r="M58" s="25">
        <f t="shared" si="63"/>
        <v>0.57471658949464621</v>
      </c>
      <c r="N58" s="25">
        <f t="shared" si="63"/>
        <v>0.55568244674792044</v>
      </c>
      <c r="O58" s="25">
        <f t="shared" si="63"/>
        <v>0.56145344880892734</v>
      </c>
    </row>
    <row r="59" spans="1:16" x14ac:dyDescent="0.25">
      <c r="B59" s="444"/>
      <c r="C59" s="12" t="s">
        <v>95</v>
      </c>
      <c r="D59" s="7">
        <f>D55</f>
        <v>398908.7</v>
      </c>
      <c r="E59" s="7">
        <f t="shared" ref="E59:J59" si="64">D59+E55</f>
        <v>792353.40999999992</v>
      </c>
      <c r="F59" s="7">
        <f t="shared" si="64"/>
        <v>1184483.72</v>
      </c>
      <c r="G59" s="7">
        <f t="shared" si="64"/>
        <v>1603794.39</v>
      </c>
      <c r="H59" s="7">
        <f t="shared" si="64"/>
        <v>2032495.73</v>
      </c>
      <c r="I59" s="7">
        <f t="shared" si="64"/>
        <v>2463349.46</v>
      </c>
      <c r="J59" s="7">
        <f t="shared" si="64"/>
        <v>2903414.14</v>
      </c>
      <c r="K59" s="7">
        <f t="shared" ref="K59" si="65">J59+K55</f>
        <v>3356829.7600000002</v>
      </c>
      <c r="L59" s="7">
        <f t="shared" ref="L59" si="66">K59+L55</f>
        <v>3823522.1100000003</v>
      </c>
      <c r="M59" s="7">
        <f t="shared" ref="M59" si="67">L59+M55</f>
        <v>4277596</v>
      </c>
      <c r="N59" s="7">
        <f t="shared" ref="N59" si="68">M59+N55</f>
        <v>4702162.3600000003</v>
      </c>
      <c r="O59" s="7">
        <f t="shared" ref="O59" si="69">N59+O55</f>
        <v>5164073.7600000007</v>
      </c>
    </row>
    <row r="60" spans="1:16" ht="15.75" thickBot="1" x14ac:dyDescent="0.3">
      <c r="B60" s="445"/>
      <c r="C60" s="42" t="s">
        <v>70</v>
      </c>
      <c r="D60" s="23">
        <f>D56</f>
        <v>223755.54</v>
      </c>
      <c r="E60" s="23">
        <f>+D60+E56</f>
        <v>484888.79000000004</v>
      </c>
      <c r="F60" s="23">
        <f t="shared" ref="F60:O60" si="70">+E60+F56</f>
        <v>740377.27</v>
      </c>
      <c r="G60" s="23">
        <f t="shared" si="70"/>
        <v>1000888.52</v>
      </c>
      <c r="H60" s="23">
        <f t="shared" si="70"/>
        <v>1264268.71</v>
      </c>
      <c r="I60" s="23">
        <f t="shared" si="70"/>
        <v>1549426.08</v>
      </c>
      <c r="J60" s="23">
        <f t="shared" si="70"/>
        <v>1833757.4200000002</v>
      </c>
      <c r="K60" s="23">
        <f t="shared" si="70"/>
        <v>2126658.83</v>
      </c>
      <c r="L60" s="23">
        <f t="shared" si="70"/>
        <v>2434922.9</v>
      </c>
      <c r="M60" s="23">
        <f t="shared" si="70"/>
        <v>2716422.77</v>
      </c>
      <c r="N60" s="23">
        <f t="shared" si="70"/>
        <v>3022572.1</v>
      </c>
      <c r="O60" s="23">
        <f t="shared" si="70"/>
        <v>3307222.3600000003</v>
      </c>
    </row>
    <row r="61" spans="1:16" ht="15" customHeight="1" x14ac:dyDescent="0.25">
      <c r="A61" s="433" t="s">
        <v>22</v>
      </c>
      <c r="B61" s="452" t="s">
        <v>85</v>
      </c>
      <c r="C61" s="363" t="s">
        <v>92</v>
      </c>
      <c r="D61" s="146">
        <f>+PIGOO!B96+PIGOO!B97</f>
        <v>5462.17</v>
      </c>
      <c r="E61" s="146">
        <f>+PIGOO!C96+PIGOO!C97</f>
        <v>5657.3600000000006</v>
      </c>
      <c r="F61" s="146">
        <f>+PIGOO!D96+PIGOO!D97</f>
        <v>5470.25</v>
      </c>
      <c r="G61" s="146">
        <f>+PIGOO!E96+PIGOO!E97</f>
        <v>5294.56</v>
      </c>
      <c r="H61" s="146">
        <f>+PIGOO!F96+PIGOO!F97</f>
        <v>7350.85</v>
      </c>
      <c r="I61" s="146">
        <f>+PIGOO!G96+PIGOO!G97</f>
        <v>9854.7100000000009</v>
      </c>
      <c r="J61" s="146">
        <f>+PIGOO!H96+PIGOO!H97</f>
        <v>16360.27</v>
      </c>
      <c r="K61" s="146">
        <f>+PIGOO!I96+PIGOO!I97</f>
        <v>7188.76</v>
      </c>
      <c r="L61" s="146">
        <f>+PIGOO!J96+PIGOO!J97</f>
        <v>5536.03</v>
      </c>
      <c r="M61" s="146">
        <f>+PIGOO!K96+PIGOO!K97</f>
        <v>5650.87</v>
      </c>
      <c r="N61" s="146">
        <f>+PIGOO!L96+PIGOO!L97</f>
        <v>4968.37</v>
      </c>
      <c r="O61" s="146">
        <f>+PIGOO!M96+PIGOO!M97</f>
        <v>10583.880000000001</v>
      </c>
      <c r="P61" s="359">
        <v>6</v>
      </c>
    </row>
    <row r="62" spans="1:16" ht="15.75" thickBot="1" x14ac:dyDescent="0.3">
      <c r="A62" s="434"/>
      <c r="B62" s="444"/>
      <c r="C62" s="164" t="s">
        <v>69</v>
      </c>
      <c r="D62" s="39">
        <v>623.76</v>
      </c>
      <c r="E62" s="40">
        <v>660</v>
      </c>
      <c r="F62" s="40">
        <v>799.1</v>
      </c>
      <c r="G62" s="40">
        <v>802.78</v>
      </c>
      <c r="H62" s="40">
        <v>1791.92</v>
      </c>
      <c r="I62" s="40">
        <v>2754.98</v>
      </c>
      <c r="J62" s="40">
        <v>2628.39</v>
      </c>
      <c r="K62" s="41">
        <v>1804.37</v>
      </c>
      <c r="L62" s="40">
        <v>1740.98</v>
      </c>
      <c r="M62" s="40">
        <v>1404.06</v>
      </c>
      <c r="N62" s="40">
        <v>2294.3200000000002</v>
      </c>
      <c r="O62" s="40">
        <v>1333.37</v>
      </c>
    </row>
    <row r="63" spans="1:16" x14ac:dyDescent="0.25">
      <c r="B63" s="444"/>
      <c r="C63" s="12" t="s">
        <v>93</v>
      </c>
      <c r="D63" s="13">
        <f>(D61/D62)-1</f>
        <v>7.7568455816339625</v>
      </c>
      <c r="E63" s="13">
        <f t="shared" ref="E63:J63" si="71">(E61/E62)-1</f>
        <v>7.5717575757575766</v>
      </c>
      <c r="F63" s="13">
        <f t="shared" si="71"/>
        <v>5.8455137029157802</v>
      </c>
      <c r="G63" s="13">
        <f t="shared" si="71"/>
        <v>5.5952813971449222</v>
      </c>
      <c r="H63" s="13">
        <f t="shared" si="71"/>
        <v>3.1022199651770173</v>
      </c>
      <c r="I63" s="13">
        <f t="shared" si="71"/>
        <v>2.5770531909487548</v>
      </c>
      <c r="J63" s="13">
        <f t="shared" si="71"/>
        <v>5.2244453829150173</v>
      </c>
      <c r="K63" s="14">
        <f>(K61/K62)-1</f>
        <v>2.9840830871717001</v>
      </c>
      <c r="L63" s="13">
        <f t="shared" ref="L63:O63" si="72">(L61/L62)-1</f>
        <v>2.1798354949511194</v>
      </c>
      <c r="M63" s="13">
        <f t="shared" si="72"/>
        <v>3.0246641881401084</v>
      </c>
      <c r="N63" s="13">
        <f t="shared" si="72"/>
        <v>1.1655087346141775</v>
      </c>
      <c r="O63" s="13">
        <f t="shared" si="72"/>
        <v>6.9376917134778804</v>
      </c>
    </row>
    <row r="64" spans="1:16" x14ac:dyDescent="0.25">
      <c r="B64" s="444"/>
      <c r="C64" s="21" t="s">
        <v>94</v>
      </c>
      <c r="D64" s="25">
        <f>(D65/D66)-1</f>
        <v>7.7568455816339625</v>
      </c>
      <c r="E64" s="25">
        <f t="shared" ref="E64:J64" si="73">(E65/E66)-1</f>
        <v>7.6616891007664982</v>
      </c>
      <c r="F64" s="25">
        <f t="shared" si="73"/>
        <v>6.9649040261947501</v>
      </c>
      <c r="G64" s="25">
        <f t="shared" si="73"/>
        <v>6.5838774067451231</v>
      </c>
      <c r="H64" s="25">
        <f t="shared" si="73"/>
        <v>5.2500940661370459</v>
      </c>
      <c r="I64" s="25">
        <f t="shared" si="73"/>
        <v>4.2592922473340202</v>
      </c>
      <c r="J64" s="25">
        <f t="shared" si="73"/>
        <v>4.5114358215393606</v>
      </c>
      <c r="K64" s="26">
        <f>(K65/K66)-1</f>
        <v>4.2791695110953789</v>
      </c>
      <c r="L64" s="25">
        <f t="shared" ref="L64:O64" si="74">(L65/L66)-1</f>
        <v>4.0105510102687889</v>
      </c>
      <c r="M64" s="25">
        <f t="shared" si="74"/>
        <v>3.9183316300630109</v>
      </c>
      <c r="N64" s="25">
        <f t="shared" si="74"/>
        <v>3.5533515249649517</v>
      </c>
      <c r="O64" s="25">
        <f t="shared" si="74"/>
        <v>3.795468190575936</v>
      </c>
    </row>
    <row r="65" spans="1:16" x14ac:dyDescent="0.25">
      <c r="B65" s="444"/>
      <c r="C65" s="12" t="s">
        <v>95</v>
      </c>
      <c r="D65" s="7">
        <f>D61</f>
        <v>5462.17</v>
      </c>
      <c r="E65" s="7">
        <f t="shared" ref="E65:J66" si="75">D65+E61</f>
        <v>11119.53</v>
      </c>
      <c r="F65" s="7">
        <f t="shared" si="75"/>
        <v>16589.78</v>
      </c>
      <c r="G65" s="7">
        <f t="shared" si="75"/>
        <v>21884.34</v>
      </c>
      <c r="H65" s="7">
        <f t="shared" si="75"/>
        <v>29235.190000000002</v>
      </c>
      <c r="I65" s="7">
        <f t="shared" si="75"/>
        <v>39089.9</v>
      </c>
      <c r="J65" s="7">
        <f t="shared" si="75"/>
        <v>55450.17</v>
      </c>
      <c r="K65" s="7">
        <f t="shared" ref="K65:K66" si="76">J65+K61</f>
        <v>62638.93</v>
      </c>
      <c r="L65" s="7">
        <f t="shared" ref="L65:L66" si="77">K65+L61</f>
        <v>68174.960000000006</v>
      </c>
      <c r="M65" s="7">
        <f t="shared" ref="M65:M66" si="78">L65+M61</f>
        <v>73825.83</v>
      </c>
      <c r="N65" s="7">
        <f t="shared" ref="N65:N66" si="79">M65+N61</f>
        <v>78794.2</v>
      </c>
      <c r="O65" s="7">
        <f t="shared" ref="O65:O66" si="80">N65+O61</f>
        <v>89378.08</v>
      </c>
    </row>
    <row r="66" spans="1:16" ht="15.75" thickBot="1" x14ac:dyDescent="0.3">
      <c r="B66" s="445"/>
      <c r="C66" s="42" t="s">
        <v>70</v>
      </c>
      <c r="D66" s="23">
        <f>D62</f>
        <v>623.76</v>
      </c>
      <c r="E66" s="23">
        <f t="shared" si="75"/>
        <v>1283.76</v>
      </c>
      <c r="F66" s="23">
        <f t="shared" si="75"/>
        <v>2082.86</v>
      </c>
      <c r="G66" s="23">
        <f t="shared" si="75"/>
        <v>2885.6400000000003</v>
      </c>
      <c r="H66" s="23">
        <f t="shared" si="75"/>
        <v>4677.5600000000004</v>
      </c>
      <c r="I66" s="23">
        <f t="shared" si="75"/>
        <v>7432.5400000000009</v>
      </c>
      <c r="J66" s="23">
        <f t="shared" si="75"/>
        <v>10060.93</v>
      </c>
      <c r="K66" s="23">
        <f t="shared" si="76"/>
        <v>11865.3</v>
      </c>
      <c r="L66" s="23">
        <f t="shared" si="77"/>
        <v>13606.279999999999</v>
      </c>
      <c r="M66" s="23">
        <f t="shared" si="78"/>
        <v>15010.339999999998</v>
      </c>
      <c r="N66" s="23">
        <f t="shared" si="79"/>
        <v>17304.66</v>
      </c>
      <c r="O66" s="23">
        <f t="shared" si="80"/>
        <v>18638.03</v>
      </c>
    </row>
    <row r="67" spans="1:16" ht="15" customHeight="1" x14ac:dyDescent="0.25">
      <c r="A67" s="433" t="s">
        <v>22</v>
      </c>
      <c r="B67" s="417" t="s">
        <v>111</v>
      </c>
      <c r="C67" s="165" t="s">
        <v>92</v>
      </c>
      <c r="D67" s="146">
        <v>45570360.369999997</v>
      </c>
      <c r="E67" s="147">
        <v>41263577.650000006</v>
      </c>
      <c r="F67" s="19">
        <v>45546234.059999995</v>
      </c>
      <c r="G67" s="44">
        <v>45208601.269999996</v>
      </c>
      <c r="H67" s="19">
        <v>47428160.229999997</v>
      </c>
      <c r="I67" s="19">
        <v>53389408.939999998</v>
      </c>
      <c r="J67" s="19">
        <v>57222557.080000006</v>
      </c>
      <c r="K67" s="38">
        <v>57210397.049999997</v>
      </c>
      <c r="L67" s="19">
        <v>53383352.030000001</v>
      </c>
      <c r="M67" s="19">
        <v>55590974.630000003</v>
      </c>
      <c r="N67" s="19">
        <v>51680991.960000001</v>
      </c>
      <c r="O67" s="19">
        <v>54131094.290000007</v>
      </c>
    </row>
    <row r="68" spans="1:16" ht="15.75" thickBot="1" x14ac:dyDescent="0.3">
      <c r="A68" s="434"/>
      <c r="B68" s="418"/>
      <c r="C68" s="166" t="s">
        <v>69</v>
      </c>
      <c r="D68" s="150"/>
      <c r="E68" s="151"/>
      <c r="F68" s="29"/>
      <c r="G68" s="29"/>
      <c r="H68" s="29"/>
      <c r="I68" s="29"/>
      <c r="J68" s="29"/>
      <c r="K68" s="46"/>
      <c r="L68" s="29"/>
      <c r="M68" s="29"/>
      <c r="N68" s="29"/>
      <c r="O68" s="29"/>
    </row>
    <row r="69" spans="1:16" x14ac:dyDescent="0.25">
      <c r="B69" s="418"/>
      <c r="C69" s="43" t="s">
        <v>93</v>
      </c>
      <c r="D69" s="47" t="e">
        <f>(D67/D68)-1</f>
        <v>#DIV/0!</v>
      </c>
      <c r="E69" s="13" t="e">
        <f t="shared" ref="E69:O69" si="81">(E67/E68)-1</f>
        <v>#DIV/0!</v>
      </c>
      <c r="F69" s="13" t="e">
        <f t="shared" si="81"/>
        <v>#DIV/0!</v>
      </c>
      <c r="G69" s="13" t="e">
        <f t="shared" si="81"/>
        <v>#DIV/0!</v>
      </c>
      <c r="H69" s="13" t="e">
        <f t="shared" si="81"/>
        <v>#DIV/0!</v>
      </c>
      <c r="I69" s="13" t="e">
        <f t="shared" si="81"/>
        <v>#DIV/0!</v>
      </c>
      <c r="J69" s="13" t="e">
        <f t="shared" si="81"/>
        <v>#DIV/0!</v>
      </c>
      <c r="K69" s="14" t="e">
        <f>(K67/K68)-1</f>
        <v>#DIV/0!</v>
      </c>
      <c r="L69" s="13" t="e">
        <f t="shared" si="81"/>
        <v>#DIV/0!</v>
      </c>
      <c r="M69" s="13" t="e">
        <f t="shared" si="81"/>
        <v>#DIV/0!</v>
      </c>
      <c r="N69" s="13" t="e">
        <f t="shared" si="81"/>
        <v>#DIV/0!</v>
      </c>
      <c r="O69" s="13" t="e">
        <f t="shared" si="81"/>
        <v>#DIV/0!</v>
      </c>
    </row>
    <row r="70" spans="1:16" x14ac:dyDescent="0.25">
      <c r="B70" s="418"/>
      <c r="C70" s="45" t="s">
        <v>94</v>
      </c>
      <c r="D70" s="48" t="e">
        <f>(D71/D72)-1</f>
        <v>#DIV/0!</v>
      </c>
      <c r="E70" s="30" t="e">
        <f t="shared" ref="E70:O70" si="82">(E71/E72)-1</f>
        <v>#DIV/0!</v>
      </c>
      <c r="F70" s="30" t="e">
        <f t="shared" si="82"/>
        <v>#DIV/0!</v>
      </c>
      <c r="G70" s="30" t="e">
        <f t="shared" si="82"/>
        <v>#DIV/0!</v>
      </c>
      <c r="H70" s="30" t="e">
        <f t="shared" si="82"/>
        <v>#DIV/0!</v>
      </c>
      <c r="I70" s="30" t="e">
        <f t="shared" si="82"/>
        <v>#DIV/0!</v>
      </c>
      <c r="J70" s="30" t="e">
        <f t="shared" si="82"/>
        <v>#DIV/0!</v>
      </c>
      <c r="K70" s="31" t="e">
        <f>(K71/K72)-1</f>
        <v>#DIV/0!</v>
      </c>
      <c r="L70" s="30" t="e">
        <f t="shared" si="82"/>
        <v>#DIV/0!</v>
      </c>
      <c r="M70" s="30" t="e">
        <f t="shared" si="82"/>
        <v>#DIV/0!</v>
      </c>
      <c r="N70" s="30" t="e">
        <f t="shared" si="82"/>
        <v>#DIV/0!</v>
      </c>
      <c r="O70" s="30" t="e">
        <f t="shared" si="82"/>
        <v>#DIV/0!</v>
      </c>
    </row>
    <row r="71" spans="1:16" x14ac:dyDescent="0.25">
      <c r="B71" s="418"/>
      <c r="C71" s="43" t="s">
        <v>95</v>
      </c>
      <c r="D71" s="6">
        <f>D67</f>
        <v>45570360.369999997</v>
      </c>
      <c r="E71" s="7">
        <f t="shared" ref="E71:J72" si="83">D71+E67</f>
        <v>86833938.020000011</v>
      </c>
      <c r="F71" s="7">
        <f t="shared" si="83"/>
        <v>132380172.08000001</v>
      </c>
      <c r="G71" s="7">
        <f t="shared" si="83"/>
        <v>177588773.35000002</v>
      </c>
      <c r="H71" s="7">
        <f t="shared" si="83"/>
        <v>225016933.58000001</v>
      </c>
      <c r="I71" s="7">
        <f t="shared" si="83"/>
        <v>278406342.51999998</v>
      </c>
      <c r="J71" s="7">
        <f t="shared" si="83"/>
        <v>335628899.59999996</v>
      </c>
      <c r="K71" s="7">
        <f t="shared" ref="K71:K72" si="84">J71+K67</f>
        <v>392839296.64999998</v>
      </c>
      <c r="L71" s="7">
        <f t="shared" ref="L71:L72" si="85">K71+L67</f>
        <v>446222648.67999995</v>
      </c>
      <c r="M71" s="7">
        <f t="shared" ref="M71:M72" si="86">L71+M67</f>
        <v>501813623.30999994</v>
      </c>
      <c r="N71" s="7">
        <f t="shared" ref="N71:N72" si="87">M71+N67</f>
        <v>553494615.26999998</v>
      </c>
      <c r="O71" s="7">
        <f t="shared" ref="O71:O72" si="88">N71+O67</f>
        <v>607625709.55999994</v>
      </c>
    </row>
    <row r="72" spans="1:16" ht="15.75" thickBot="1" x14ac:dyDescent="0.3">
      <c r="B72" s="435"/>
      <c r="C72" s="49" t="s">
        <v>70</v>
      </c>
      <c r="D72" s="28">
        <f>D68</f>
        <v>0</v>
      </c>
      <c r="E72" s="29">
        <f t="shared" si="83"/>
        <v>0</v>
      </c>
      <c r="F72" s="29">
        <f t="shared" si="83"/>
        <v>0</v>
      </c>
      <c r="G72" s="29">
        <f t="shared" si="83"/>
        <v>0</v>
      </c>
      <c r="H72" s="29">
        <f t="shared" si="83"/>
        <v>0</v>
      </c>
      <c r="I72" s="29">
        <f t="shared" si="83"/>
        <v>0</v>
      </c>
      <c r="J72" s="29">
        <f t="shared" si="83"/>
        <v>0</v>
      </c>
      <c r="K72" s="29">
        <f t="shared" si="84"/>
        <v>0</v>
      </c>
      <c r="L72" s="29">
        <f t="shared" si="85"/>
        <v>0</v>
      </c>
      <c r="M72" s="29">
        <f t="shared" si="86"/>
        <v>0</v>
      </c>
      <c r="N72" s="29">
        <f t="shared" si="87"/>
        <v>0</v>
      </c>
      <c r="O72" s="29">
        <f t="shared" si="88"/>
        <v>0</v>
      </c>
    </row>
    <row r="73" spans="1:16" x14ac:dyDescent="0.25">
      <c r="B73" s="417" t="s">
        <v>112</v>
      </c>
      <c r="C73" s="165" t="s">
        <v>92</v>
      </c>
      <c r="D73" s="146">
        <v>31932233.129999999</v>
      </c>
      <c r="E73" s="147">
        <v>27498808.639999993</v>
      </c>
      <c r="F73" s="19">
        <v>29799991.24000001</v>
      </c>
      <c r="G73" s="44">
        <v>32560305.339999996</v>
      </c>
      <c r="H73" s="19">
        <v>35271814.850000009</v>
      </c>
      <c r="I73" s="19">
        <v>30882590.639999997</v>
      </c>
      <c r="J73" s="19">
        <v>34294777.379999995</v>
      </c>
      <c r="K73" s="38">
        <v>31575446.299999997</v>
      </c>
      <c r="L73" s="19">
        <v>33540442.820000008</v>
      </c>
      <c r="M73" s="19">
        <v>35029380.350000001</v>
      </c>
      <c r="N73" s="19">
        <v>32226353.99000001</v>
      </c>
      <c r="O73" s="19">
        <v>31957520.409999989</v>
      </c>
    </row>
    <row r="74" spans="1:16" x14ac:dyDescent="0.25">
      <c r="B74" s="418"/>
      <c r="C74" s="166" t="s">
        <v>69</v>
      </c>
      <c r="D74" s="150"/>
      <c r="E74" s="151"/>
      <c r="F74" s="29"/>
      <c r="G74" s="29"/>
      <c r="H74" s="29"/>
      <c r="I74" s="29"/>
      <c r="J74" s="29"/>
      <c r="K74" s="46"/>
      <c r="L74" s="29"/>
      <c r="M74" s="29"/>
      <c r="N74" s="29"/>
      <c r="O74" s="29"/>
    </row>
    <row r="75" spans="1:16" x14ac:dyDescent="0.25">
      <c r="B75" s="418"/>
      <c r="C75" s="43" t="s">
        <v>93</v>
      </c>
      <c r="D75" s="47" t="e">
        <f>(D73/D74)-1</f>
        <v>#DIV/0!</v>
      </c>
      <c r="E75" s="13" t="e">
        <f t="shared" ref="E75:J75" si="89">(E73/E74)-1</f>
        <v>#DIV/0!</v>
      </c>
      <c r="F75" s="13" t="e">
        <f t="shared" si="89"/>
        <v>#DIV/0!</v>
      </c>
      <c r="G75" s="13" t="e">
        <f t="shared" si="89"/>
        <v>#DIV/0!</v>
      </c>
      <c r="H75" s="13" t="e">
        <f t="shared" si="89"/>
        <v>#DIV/0!</v>
      </c>
      <c r="I75" s="13" t="e">
        <f t="shared" si="89"/>
        <v>#DIV/0!</v>
      </c>
      <c r="J75" s="13" t="e">
        <f t="shared" si="89"/>
        <v>#DIV/0!</v>
      </c>
      <c r="K75" s="14" t="e">
        <f>(K73/K74)-1</f>
        <v>#DIV/0!</v>
      </c>
      <c r="L75" s="13" t="e">
        <f t="shared" ref="L75:O75" si="90">(L73/L74)-1</f>
        <v>#DIV/0!</v>
      </c>
      <c r="M75" s="13" t="e">
        <f t="shared" si="90"/>
        <v>#DIV/0!</v>
      </c>
      <c r="N75" s="13" t="e">
        <f t="shared" si="90"/>
        <v>#DIV/0!</v>
      </c>
      <c r="O75" s="13" t="e">
        <f t="shared" si="90"/>
        <v>#DIV/0!</v>
      </c>
    </row>
    <row r="76" spans="1:16" x14ac:dyDescent="0.25">
      <c r="B76" s="418"/>
      <c r="C76" s="45" t="s">
        <v>94</v>
      </c>
      <c r="D76" s="48" t="e">
        <f>(D77/D78)-1</f>
        <v>#DIV/0!</v>
      </c>
      <c r="E76" s="30" t="e">
        <f t="shared" ref="E76:J76" si="91">(E77/E78)-1</f>
        <v>#DIV/0!</v>
      </c>
      <c r="F76" s="30" t="e">
        <f t="shared" si="91"/>
        <v>#DIV/0!</v>
      </c>
      <c r="G76" s="30" t="e">
        <f t="shared" si="91"/>
        <v>#DIV/0!</v>
      </c>
      <c r="H76" s="30" t="e">
        <f t="shared" si="91"/>
        <v>#DIV/0!</v>
      </c>
      <c r="I76" s="30" t="e">
        <f t="shared" si="91"/>
        <v>#DIV/0!</v>
      </c>
      <c r="J76" s="30" t="e">
        <f t="shared" si="91"/>
        <v>#DIV/0!</v>
      </c>
      <c r="K76" s="31" t="e">
        <f>(K77/K78)-1</f>
        <v>#DIV/0!</v>
      </c>
      <c r="L76" s="30" t="e">
        <f t="shared" ref="L76:O76" si="92">(L77/L78)-1</f>
        <v>#DIV/0!</v>
      </c>
      <c r="M76" s="30" t="e">
        <f t="shared" si="92"/>
        <v>#DIV/0!</v>
      </c>
      <c r="N76" s="30" t="e">
        <f t="shared" si="92"/>
        <v>#DIV/0!</v>
      </c>
      <c r="O76" s="30" t="e">
        <f t="shared" si="92"/>
        <v>#DIV/0!</v>
      </c>
    </row>
    <row r="77" spans="1:16" x14ac:dyDescent="0.25">
      <c r="B77" s="418"/>
      <c r="C77" s="43" t="s">
        <v>95</v>
      </c>
      <c r="D77" s="6">
        <f>D73</f>
        <v>31932233.129999999</v>
      </c>
      <c r="E77" s="7">
        <f t="shared" ref="E77:E78" si="93">D77+E73</f>
        <v>59431041.769999996</v>
      </c>
      <c r="F77" s="7">
        <f t="shared" ref="F77:F78" si="94">E77+F73</f>
        <v>89231033.010000005</v>
      </c>
      <c r="G77" s="7">
        <f t="shared" ref="G77:G78" si="95">F77+G73</f>
        <v>121791338.34999999</v>
      </c>
      <c r="H77" s="7">
        <f t="shared" ref="H77:H78" si="96">G77+H73</f>
        <v>157063153.19999999</v>
      </c>
      <c r="I77" s="7">
        <f t="shared" ref="I77:I78" si="97">H77+I73</f>
        <v>187945743.83999997</v>
      </c>
      <c r="J77" s="7">
        <f t="shared" ref="J77:J78" si="98">I77+J73</f>
        <v>222240521.21999997</v>
      </c>
      <c r="K77" s="7">
        <f t="shared" ref="K77:K78" si="99">J77+K73</f>
        <v>253815967.51999998</v>
      </c>
      <c r="L77" s="7">
        <f t="shared" ref="L77:L78" si="100">K77+L73</f>
        <v>287356410.33999997</v>
      </c>
      <c r="M77" s="7">
        <f t="shared" ref="M77:M78" si="101">L77+M73</f>
        <v>322385790.69</v>
      </c>
      <c r="N77" s="7">
        <f t="shared" ref="N77:N78" si="102">M77+N73</f>
        <v>354612144.68000001</v>
      </c>
      <c r="O77" s="7">
        <f t="shared" ref="O77:O78" si="103">N77+O73</f>
        <v>386569665.08999997</v>
      </c>
    </row>
    <row r="78" spans="1:16" ht="15.75" thickBot="1" x14ac:dyDescent="0.3">
      <c r="B78" s="435"/>
      <c r="C78" s="49" t="s">
        <v>70</v>
      </c>
      <c r="D78" s="28">
        <f>D74</f>
        <v>0</v>
      </c>
      <c r="E78" s="29">
        <f t="shared" si="93"/>
        <v>0</v>
      </c>
      <c r="F78" s="29">
        <f t="shared" si="94"/>
        <v>0</v>
      </c>
      <c r="G78" s="29">
        <f t="shared" si="95"/>
        <v>0</v>
      </c>
      <c r="H78" s="29">
        <f t="shared" si="96"/>
        <v>0</v>
      </c>
      <c r="I78" s="29">
        <f t="shared" si="97"/>
        <v>0</v>
      </c>
      <c r="J78" s="29">
        <f t="shared" si="98"/>
        <v>0</v>
      </c>
      <c r="K78" s="29">
        <f t="shared" si="99"/>
        <v>0</v>
      </c>
      <c r="L78" s="29">
        <f t="shared" si="100"/>
        <v>0</v>
      </c>
      <c r="M78" s="29">
        <f t="shared" si="101"/>
        <v>0</v>
      </c>
      <c r="N78" s="29">
        <f t="shared" si="102"/>
        <v>0</v>
      </c>
      <c r="O78" s="29">
        <f t="shared" si="103"/>
        <v>0</v>
      </c>
    </row>
    <row r="79" spans="1:16" x14ac:dyDescent="0.25">
      <c r="A79" s="433" t="s">
        <v>22</v>
      </c>
      <c r="B79" s="417" t="s">
        <v>23</v>
      </c>
      <c r="C79" s="52" t="s">
        <v>92</v>
      </c>
      <c r="D79" s="146">
        <f>+PIGOO!B103+PIGOO!B104</f>
        <v>224.22</v>
      </c>
      <c r="E79" s="146">
        <f>+PIGOO!C103+PIGOO!C104</f>
        <v>131.5</v>
      </c>
      <c r="F79" s="146">
        <f>+PIGOO!D103+PIGOO!D104</f>
        <v>1042.1599999999999</v>
      </c>
      <c r="G79" s="146">
        <f>+PIGOO!E103+PIGOO!E104</f>
        <v>345.29999999999995</v>
      </c>
      <c r="H79" s="146">
        <f>+PIGOO!F103+PIGOO!F104</f>
        <v>67.930000000000007</v>
      </c>
      <c r="I79" s="146">
        <f>+PIGOO!G103+PIGOO!G104</f>
        <v>68.330000000000013</v>
      </c>
      <c r="J79" s="146">
        <f>+PIGOO!H103+PIGOO!H104</f>
        <v>333.2</v>
      </c>
      <c r="K79" s="146">
        <f>+PIGOO!I103+PIGOO!I104</f>
        <v>69.150000000000006</v>
      </c>
      <c r="L79" s="146">
        <f>+PIGOO!J103+PIGOO!J104</f>
        <v>425.87</v>
      </c>
      <c r="M79" s="146">
        <f>+PIGOO!K103+PIGOO!K104</f>
        <v>69.989999999999995</v>
      </c>
      <c r="N79" s="146">
        <f>+PIGOO!L103+PIGOO!L104</f>
        <v>70.400000000000006</v>
      </c>
      <c r="O79" s="146">
        <f>+PIGOO!M103+PIGOO!M104</f>
        <v>70.83</v>
      </c>
      <c r="P79" s="359">
        <v>7</v>
      </c>
    </row>
    <row r="80" spans="1:16" ht="15.75" thickBot="1" x14ac:dyDescent="0.3">
      <c r="A80" s="434"/>
      <c r="B80" s="418"/>
      <c r="C80" s="166" t="s">
        <v>69</v>
      </c>
      <c r="D80" s="150">
        <v>0</v>
      </c>
      <c r="E80" s="151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46">
        <v>0</v>
      </c>
      <c r="L80" s="29">
        <v>0</v>
      </c>
      <c r="M80" s="29">
        <v>0</v>
      </c>
      <c r="N80" s="29">
        <v>280.61</v>
      </c>
      <c r="O80" s="29">
        <v>252.86</v>
      </c>
    </row>
    <row r="81" spans="1:15" x14ac:dyDescent="0.25">
      <c r="B81" s="418"/>
      <c r="C81" s="43" t="s">
        <v>93</v>
      </c>
      <c r="D81" s="47" t="e">
        <f>(D79/D80)-1</f>
        <v>#DIV/0!</v>
      </c>
      <c r="E81" s="13" t="e">
        <f t="shared" ref="E81:J81" si="104">(E79/E80)-1</f>
        <v>#DIV/0!</v>
      </c>
      <c r="F81" s="13" t="e">
        <f t="shared" si="104"/>
        <v>#DIV/0!</v>
      </c>
      <c r="G81" s="13" t="e">
        <f t="shared" si="104"/>
        <v>#DIV/0!</v>
      </c>
      <c r="H81" s="13" t="e">
        <f t="shared" si="104"/>
        <v>#DIV/0!</v>
      </c>
      <c r="I81" s="13" t="e">
        <f t="shared" si="104"/>
        <v>#DIV/0!</v>
      </c>
      <c r="J81" s="13" t="e">
        <f t="shared" si="104"/>
        <v>#DIV/0!</v>
      </c>
      <c r="K81" s="14" t="e">
        <f>(K79/K80)-1</f>
        <v>#DIV/0!</v>
      </c>
      <c r="L81" s="13" t="e">
        <f t="shared" ref="L81:O81" si="105">(L79/L80)-1</f>
        <v>#DIV/0!</v>
      </c>
      <c r="M81" s="13" t="e">
        <f t="shared" si="105"/>
        <v>#DIV/0!</v>
      </c>
      <c r="N81" s="13">
        <f t="shared" si="105"/>
        <v>-0.74911799294394354</v>
      </c>
      <c r="O81" s="13">
        <f t="shared" si="105"/>
        <v>-0.71988452107885781</v>
      </c>
    </row>
    <row r="82" spans="1:15" x14ac:dyDescent="0.25">
      <c r="B82" s="418"/>
      <c r="C82" s="45" t="s">
        <v>94</v>
      </c>
      <c r="D82" s="48" t="e">
        <f>(D83/D84)-1</f>
        <v>#DIV/0!</v>
      </c>
      <c r="E82" s="30" t="e">
        <f t="shared" ref="E82:J82" si="106">(E83/E84)-1</f>
        <v>#DIV/0!</v>
      </c>
      <c r="F82" s="30" t="e">
        <f t="shared" si="106"/>
        <v>#DIV/0!</v>
      </c>
      <c r="G82" s="30" t="e">
        <f t="shared" si="106"/>
        <v>#DIV/0!</v>
      </c>
      <c r="H82" s="30" t="e">
        <f t="shared" si="106"/>
        <v>#DIV/0!</v>
      </c>
      <c r="I82" s="30" t="e">
        <f t="shared" si="106"/>
        <v>#DIV/0!</v>
      </c>
      <c r="J82" s="30" t="e">
        <f t="shared" si="106"/>
        <v>#DIV/0!</v>
      </c>
      <c r="K82" s="31" t="e">
        <f>(K83/K84)-1</f>
        <v>#DIV/0!</v>
      </c>
      <c r="L82" s="30" t="e">
        <f t="shared" ref="L82:O82" si="107">(L83/L84)-1</f>
        <v>#DIV/0!</v>
      </c>
      <c r="M82" s="30" t="e">
        <f t="shared" si="107"/>
        <v>#DIV/0!</v>
      </c>
      <c r="N82" s="30">
        <f t="shared" si="107"/>
        <v>9.1494957414204752</v>
      </c>
      <c r="O82" s="30">
        <f t="shared" si="107"/>
        <v>4.471497928655781</v>
      </c>
    </row>
    <row r="83" spans="1:15" x14ac:dyDescent="0.25">
      <c r="B83" s="418"/>
      <c r="C83" s="43" t="s">
        <v>95</v>
      </c>
      <c r="D83" s="6">
        <f>D79</f>
        <v>224.22</v>
      </c>
      <c r="E83" s="7">
        <f t="shared" ref="E83:J84" si="108">D83+E79</f>
        <v>355.72</v>
      </c>
      <c r="F83" s="7">
        <f t="shared" si="108"/>
        <v>1397.8799999999999</v>
      </c>
      <c r="G83" s="7">
        <f t="shared" si="108"/>
        <v>1743.1799999999998</v>
      </c>
      <c r="H83" s="7">
        <f t="shared" si="108"/>
        <v>1811.11</v>
      </c>
      <c r="I83" s="7">
        <f t="shared" si="108"/>
        <v>1879.4399999999998</v>
      </c>
      <c r="J83" s="7">
        <f t="shared" si="108"/>
        <v>2212.64</v>
      </c>
      <c r="K83" s="7">
        <f t="shared" ref="K83:K84" si="109">J83+K79</f>
        <v>2281.79</v>
      </c>
      <c r="L83" s="7">
        <f t="shared" ref="L83:L84" si="110">K83+L79</f>
        <v>2707.66</v>
      </c>
      <c r="M83" s="7">
        <f t="shared" ref="M83:M84" si="111">L83+M79</f>
        <v>2777.6499999999996</v>
      </c>
      <c r="N83" s="7">
        <f t="shared" ref="N83:N84" si="112">M83+N79</f>
        <v>2848.0499999999997</v>
      </c>
      <c r="O83" s="7">
        <f t="shared" ref="O83:O84" si="113">N83+O79</f>
        <v>2918.8799999999997</v>
      </c>
    </row>
    <row r="84" spans="1:15" ht="15.75" thickBot="1" x14ac:dyDescent="0.3">
      <c r="B84" s="435"/>
      <c r="C84" s="49" t="s">
        <v>70</v>
      </c>
      <c r="D84" s="28">
        <f>D80</f>
        <v>0</v>
      </c>
      <c r="E84" s="29">
        <f t="shared" si="108"/>
        <v>0</v>
      </c>
      <c r="F84" s="29">
        <f t="shared" si="108"/>
        <v>0</v>
      </c>
      <c r="G84" s="29">
        <f t="shared" si="108"/>
        <v>0</v>
      </c>
      <c r="H84" s="29">
        <f t="shared" si="108"/>
        <v>0</v>
      </c>
      <c r="I84" s="29">
        <f t="shared" si="108"/>
        <v>0</v>
      </c>
      <c r="J84" s="29">
        <f t="shared" si="108"/>
        <v>0</v>
      </c>
      <c r="K84" s="29">
        <f t="shared" si="109"/>
        <v>0</v>
      </c>
      <c r="L84" s="29">
        <f t="shared" si="110"/>
        <v>0</v>
      </c>
      <c r="M84" s="29">
        <f t="shared" si="111"/>
        <v>0</v>
      </c>
      <c r="N84" s="29">
        <f t="shared" si="112"/>
        <v>280.61</v>
      </c>
      <c r="O84" s="29">
        <f t="shared" si="113"/>
        <v>533.47</v>
      </c>
    </row>
    <row r="85" spans="1:15" x14ac:dyDescent="0.25">
      <c r="B85" s="436" t="s">
        <v>110</v>
      </c>
      <c r="C85" s="50" t="s">
        <v>21</v>
      </c>
      <c r="D85" s="51">
        <f t="shared" ref="D85:O85" si="114">(D67/D55)</f>
        <v>114.23756957419077</v>
      </c>
      <c r="E85" s="51">
        <f t="shared" si="114"/>
        <v>104.87770352789852</v>
      </c>
      <c r="F85" s="51">
        <f t="shared" si="114"/>
        <v>116.1507613629765</v>
      </c>
      <c r="G85" s="51">
        <f t="shared" si="114"/>
        <v>107.81648191781048</v>
      </c>
      <c r="H85" s="51">
        <f t="shared" si="114"/>
        <v>110.63217164191741</v>
      </c>
      <c r="I85" s="51">
        <f t="shared" si="114"/>
        <v>123.91539221442972</v>
      </c>
      <c r="J85" s="51">
        <f t="shared" si="114"/>
        <v>130.03215136465849</v>
      </c>
      <c r="K85" s="51">
        <f t="shared" si="114"/>
        <v>126.1765023666366</v>
      </c>
      <c r="L85" s="51">
        <f t="shared" si="114"/>
        <v>114.38660185880485</v>
      </c>
      <c r="M85" s="51">
        <f t="shared" si="114"/>
        <v>122.42715525880601</v>
      </c>
      <c r="N85" s="51">
        <f t="shared" si="114"/>
        <v>121.7265351875735</v>
      </c>
      <c r="O85" s="51">
        <f t="shared" si="114"/>
        <v>117.18934473147881</v>
      </c>
    </row>
    <row r="86" spans="1:15" x14ac:dyDescent="0.25">
      <c r="B86" s="437"/>
      <c r="C86" s="52" t="s">
        <v>96</v>
      </c>
      <c r="D86" s="53">
        <f t="shared" ref="D86:O86" si="115">D71/D59</f>
        <v>114.23756957419077</v>
      </c>
      <c r="E86" s="53">
        <f t="shared" si="115"/>
        <v>109.58990890188763</v>
      </c>
      <c r="F86" s="53">
        <f t="shared" si="115"/>
        <v>111.76191774083651</v>
      </c>
      <c r="G86" s="53">
        <f t="shared" si="115"/>
        <v>110.7303869232265</v>
      </c>
      <c r="H86" s="53">
        <f t="shared" si="115"/>
        <v>110.70967100137524</v>
      </c>
      <c r="I86" s="53">
        <f t="shared" si="115"/>
        <v>113.01942620841136</v>
      </c>
      <c r="J86" s="53">
        <f t="shared" si="115"/>
        <v>115.59801096787382</v>
      </c>
      <c r="K86" s="53">
        <f t="shared" si="115"/>
        <v>117.02687497920655</v>
      </c>
      <c r="L86" s="53">
        <f t="shared" si="115"/>
        <v>116.70460790927659</v>
      </c>
      <c r="M86" s="53">
        <f t="shared" si="115"/>
        <v>117.31206577479499</v>
      </c>
      <c r="N86" s="53">
        <f t="shared" si="115"/>
        <v>117.71065584175192</v>
      </c>
      <c r="O86" s="53">
        <f t="shared" si="115"/>
        <v>117.6640260769629</v>
      </c>
    </row>
    <row r="87" spans="1:15" ht="15.75" thickBot="1" x14ac:dyDescent="0.3">
      <c r="B87" s="438"/>
      <c r="C87" s="54" t="s">
        <v>71</v>
      </c>
      <c r="D87" s="55">
        <f t="shared" ref="D87:O87" si="116">D72/D60</f>
        <v>0</v>
      </c>
      <c r="E87" s="55">
        <f t="shared" si="116"/>
        <v>0</v>
      </c>
      <c r="F87" s="55">
        <f t="shared" si="116"/>
        <v>0</v>
      </c>
      <c r="G87" s="55">
        <f t="shared" si="116"/>
        <v>0</v>
      </c>
      <c r="H87" s="55">
        <f t="shared" si="116"/>
        <v>0</v>
      </c>
      <c r="I87" s="55">
        <f t="shared" si="116"/>
        <v>0</v>
      </c>
      <c r="J87" s="55">
        <f t="shared" si="116"/>
        <v>0</v>
      </c>
      <c r="K87" s="55">
        <f t="shared" si="116"/>
        <v>0</v>
      </c>
      <c r="L87" s="55">
        <f t="shared" si="116"/>
        <v>0</v>
      </c>
      <c r="M87" s="55">
        <f t="shared" si="116"/>
        <v>0</v>
      </c>
      <c r="N87" s="55">
        <f t="shared" si="116"/>
        <v>0</v>
      </c>
      <c r="O87" s="55">
        <f t="shared" si="116"/>
        <v>0</v>
      </c>
    </row>
    <row r="88" spans="1:15" x14ac:dyDescent="0.25">
      <c r="B88" s="439" t="s">
        <v>79</v>
      </c>
      <c r="C88" s="50" t="s">
        <v>21</v>
      </c>
      <c r="D88" s="51">
        <f t="shared" ref="D88:O88" si="117">D79/D61</f>
        <v>4.1049619473579178E-2</v>
      </c>
      <c r="E88" s="51">
        <f t="shared" si="117"/>
        <v>2.3244057298810749E-2</v>
      </c>
      <c r="F88" s="51">
        <f t="shared" si="117"/>
        <v>0.19051414469174166</v>
      </c>
      <c r="G88" s="51">
        <f t="shared" si="117"/>
        <v>6.5217884016802133E-2</v>
      </c>
      <c r="H88" s="51">
        <f t="shared" si="117"/>
        <v>9.2411081711638796E-3</v>
      </c>
      <c r="I88" s="51">
        <f t="shared" si="117"/>
        <v>6.9337403130076891E-3</v>
      </c>
      <c r="J88" s="51">
        <f t="shared" si="117"/>
        <v>2.036641204576697E-2</v>
      </c>
      <c r="K88" s="51">
        <f t="shared" si="117"/>
        <v>9.6191832805657719E-3</v>
      </c>
      <c r="L88" s="51">
        <f t="shared" si="117"/>
        <v>7.6926967520045964E-2</v>
      </c>
      <c r="M88" s="51">
        <f t="shared" si="117"/>
        <v>1.2385703440355202E-2</v>
      </c>
      <c r="N88" s="51">
        <f t="shared" si="117"/>
        <v>1.4169637124449267E-2</v>
      </c>
      <c r="O88" s="51">
        <f t="shared" si="117"/>
        <v>6.6922527466297798E-3</v>
      </c>
    </row>
    <row r="89" spans="1:15" x14ac:dyDescent="0.25">
      <c r="B89" s="440"/>
      <c r="C89" s="52" t="s">
        <v>96</v>
      </c>
      <c r="D89" s="53">
        <f t="shared" ref="D89:O89" si="118">D83/D65</f>
        <v>4.1049619473579178E-2</v>
      </c>
      <c r="E89" s="53">
        <f t="shared" si="118"/>
        <v>3.1990560752118119E-2</v>
      </c>
      <c r="F89" s="53">
        <f t="shared" si="118"/>
        <v>8.4261515222022229E-2</v>
      </c>
      <c r="G89" s="53">
        <f t="shared" si="118"/>
        <v>7.9654218495965601E-2</v>
      </c>
      <c r="H89" s="53">
        <f t="shared" si="118"/>
        <v>6.1949657245258187E-2</v>
      </c>
      <c r="I89" s="53">
        <f t="shared" si="118"/>
        <v>4.8079938807722704E-2</v>
      </c>
      <c r="J89" s="53">
        <f t="shared" si="118"/>
        <v>3.9903214002770415E-2</v>
      </c>
      <c r="K89" s="53">
        <f t="shared" si="118"/>
        <v>3.6427665670534279E-2</v>
      </c>
      <c r="L89" s="53">
        <f t="shared" si="118"/>
        <v>3.9716341601080507E-2</v>
      </c>
      <c r="M89" s="53">
        <f t="shared" si="118"/>
        <v>3.7624365347467131E-2</v>
      </c>
      <c r="N89" s="53">
        <f t="shared" si="118"/>
        <v>3.6145426947668736E-2</v>
      </c>
      <c r="O89" s="53">
        <f t="shared" si="118"/>
        <v>3.2657671769185458E-2</v>
      </c>
    </row>
    <row r="90" spans="1:15" ht="15.75" thickBot="1" x14ac:dyDescent="0.3">
      <c r="B90" s="441"/>
      <c r="C90" s="54" t="s">
        <v>71</v>
      </c>
      <c r="D90" s="55">
        <f t="shared" ref="D90:O90" si="119">D84/D66</f>
        <v>0</v>
      </c>
      <c r="E90" s="55">
        <f t="shared" si="119"/>
        <v>0</v>
      </c>
      <c r="F90" s="55">
        <f t="shared" si="119"/>
        <v>0</v>
      </c>
      <c r="G90" s="55">
        <f t="shared" si="119"/>
        <v>0</v>
      </c>
      <c r="H90" s="55">
        <f t="shared" si="119"/>
        <v>0</v>
      </c>
      <c r="I90" s="55">
        <f t="shared" si="119"/>
        <v>0</v>
      </c>
      <c r="J90" s="55">
        <f t="shared" si="119"/>
        <v>0</v>
      </c>
      <c r="K90" s="55">
        <f t="shared" si="119"/>
        <v>0</v>
      </c>
      <c r="L90" s="55">
        <f t="shared" si="119"/>
        <v>0</v>
      </c>
      <c r="M90" s="55">
        <f t="shared" si="119"/>
        <v>0</v>
      </c>
      <c r="N90" s="55">
        <f t="shared" si="119"/>
        <v>1.6215863241462129E-2</v>
      </c>
      <c r="O90" s="55">
        <f t="shared" si="119"/>
        <v>2.8622660227502587E-2</v>
      </c>
    </row>
    <row r="91" spans="1:15" x14ac:dyDescent="0.25">
      <c r="B91" s="440" t="s">
        <v>80</v>
      </c>
      <c r="C91" s="50" t="s">
        <v>21</v>
      </c>
      <c r="D91" s="51">
        <f>(D67)/(D61+D55)</f>
        <v>112.69446874350766</v>
      </c>
      <c r="E91" s="51">
        <f t="shared" ref="E91:O91" si="120">(E67)/(E61+E55)</f>
        <v>103.39103891392999</v>
      </c>
      <c r="F91" s="51">
        <f t="shared" si="120"/>
        <v>114.55274122350329</v>
      </c>
      <c r="G91" s="51">
        <f t="shared" si="120"/>
        <v>106.47207824076966</v>
      </c>
      <c r="H91" s="51">
        <f t="shared" si="120"/>
        <v>108.76716438461185</v>
      </c>
      <c r="I91" s="51">
        <f t="shared" si="120"/>
        <v>121.14451209511667</v>
      </c>
      <c r="J91" s="51">
        <f t="shared" si="120"/>
        <v>125.37122933354102</v>
      </c>
      <c r="K91" s="51">
        <f t="shared" si="120"/>
        <v>124.20723626206072</v>
      </c>
      <c r="L91" s="51">
        <f t="shared" si="120"/>
        <v>113.0456243015297</v>
      </c>
      <c r="M91" s="51">
        <f t="shared" si="120"/>
        <v>120.92229844222443</v>
      </c>
      <c r="N91" s="51">
        <f t="shared" si="120"/>
        <v>120.31854085465919</v>
      </c>
      <c r="O91" s="51">
        <f t="shared" si="120"/>
        <v>114.5643069492673</v>
      </c>
    </row>
    <row r="92" spans="1:15" x14ac:dyDescent="0.25">
      <c r="B92" s="440"/>
      <c r="C92" s="52" t="s">
        <v>96</v>
      </c>
      <c r="D92" s="53">
        <f>(D71)/(D65+D59)</f>
        <v>112.69446874350766</v>
      </c>
      <c r="E92" s="53">
        <f t="shared" ref="E92:O92" si="121">(E71)/(E65+E59)</f>
        <v>108.07325760093428</v>
      </c>
      <c r="F92" s="53">
        <f t="shared" si="121"/>
        <v>110.21821069235148</v>
      </c>
      <c r="G92" s="53">
        <f t="shared" si="121"/>
        <v>109.23977171676474</v>
      </c>
      <c r="H92" s="53">
        <f t="shared" si="121"/>
        <v>109.13981615990899</v>
      </c>
      <c r="I92" s="53">
        <f t="shared" si="121"/>
        <v>111.25398160297479</v>
      </c>
      <c r="J92" s="53">
        <f t="shared" si="121"/>
        <v>113.43166310995855</v>
      </c>
      <c r="K92" s="53">
        <f t="shared" si="121"/>
        <v>114.88313895045488</v>
      </c>
      <c r="L92" s="53">
        <f t="shared" si="121"/>
        <v>114.66017026859696</v>
      </c>
      <c r="M92" s="53">
        <f t="shared" si="121"/>
        <v>115.32175985567456</v>
      </c>
      <c r="N92" s="53">
        <f t="shared" si="121"/>
        <v>115.77068486687942</v>
      </c>
      <c r="O92" s="53">
        <f t="shared" si="121"/>
        <v>115.66218327795688</v>
      </c>
    </row>
    <row r="93" spans="1:15" ht="15.75" thickBot="1" x14ac:dyDescent="0.3">
      <c r="B93" s="441"/>
      <c r="C93" s="54" t="s">
        <v>71</v>
      </c>
      <c r="D93" s="55">
        <f>(D72)/(D66+D60)</f>
        <v>0</v>
      </c>
      <c r="E93" s="55">
        <f t="shared" ref="E93:O93" si="122">(E72)/(E66+E60)</f>
        <v>0</v>
      </c>
      <c r="F93" s="55">
        <f t="shared" si="122"/>
        <v>0</v>
      </c>
      <c r="G93" s="55">
        <f t="shared" si="122"/>
        <v>0</v>
      </c>
      <c r="H93" s="55">
        <f t="shared" si="122"/>
        <v>0</v>
      </c>
      <c r="I93" s="55">
        <f t="shared" si="122"/>
        <v>0</v>
      </c>
      <c r="J93" s="55">
        <f t="shared" si="122"/>
        <v>0</v>
      </c>
      <c r="K93" s="55">
        <f t="shared" si="122"/>
        <v>0</v>
      </c>
      <c r="L93" s="55">
        <f t="shared" si="122"/>
        <v>0</v>
      </c>
      <c r="M93" s="55">
        <f t="shared" si="122"/>
        <v>0</v>
      </c>
      <c r="N93" s="55">
        <f t="shared" si="122"/>
        <v>0</v>
      </c>
      <c r="O93" s="55">
        <f t="shared" si="122"/>
        <v>0</v>
      </c>
    </row>
    <row r="94" spans="1:15" x14ac:dyDescent="0.25">
      <c r="A94" s="225"/>
      <c r="B94" s="351" t="s">
        <v>89</v>
      </c>
      <c r="C94" s="202">
        <v>2941</v>
      </c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</row>
    <row r="95" spans="1:15" x14ac:dyDescent="0.25">
      <c r="A95" s="129"/>
      <c r="B95" s="446" t="s">
        <v>90</v>
      </c>
      <c r="C95" s="198"/>
      <c r="D95" s="199">
        <f t="shared" ref="D95:O95" si="123">(D7*1000)/($C$94*30.4)</f>
        <v>435.09189498738345</v>
      </c>
      <c r="E95" s="199">
        <f t="shared" si="123"/>
        <v>565.29510191664133</v>
      </c>
      <c r="F95" s="199">
        <f t="shared" si="123"/>
        <v>1050.8308130066753</v>
      </c>
      <c r="G95" s="199">
        <f t="shared" si="123"/>
        <v>1037.162887667997</v>
      </c>
      <c r="H95" s="199">
        <f t="shared" si="123"/>
        <v>385.80012169151206</v>
      </c>
      <c r="I95" s="199">
        <f t="shared" si="123"/>
        <v>0</v>
      </c>
      <c r="J95" s="199">
        <f t="shared" si="123"/>
        <v>382.4670269689866</v>
      </c>
      <c r="K95" s="199">
        <f t="shared" si="123"/>
        <v>1227.7532704593855</v>
      </c>
      <c r="L95" s="199">
        <f t="shared" si="123"/>
        <v>0</v>
      </c>
      <c r="M95" s="199">
        <f t="shared" si="123"/>
        <v>978.47581381198665</v>
      </c>
      <c r="N95" s="199">
        <f t="shared" si="123"/>
        <v>293.43536928005153</v>
      </c>
      <c r="O95" s="199">
        <f t="shared" si="123"/>
        <v>669.60530789742131</v>
      </c>
    </row>
    <row r="96" spans="1:15" ht="10.5" customHeight="1" x14ac:dyDescent="0.25">
      <c r="A96" s="129"/>
      <c r="B96" s="447"/>
      <c r="C96" s="197"/>
      <c r="D96" s="200"/>
      <c r="E96" s="201"/>
      <c r="F96" s="201"/>
      <c r="G96" s="201"/>
      <c r="H96" s="200"/>
      <c r="I96" s="201"/>
      <c r="J96" s="201"/>
      <c r="K96" s="201"/>
      <c r="L96" s="201"/>
      <c r="M96" s="201"/>
      <c r="N96" s="201"/>
      <c r="O96" s="201"/>
    </row>
    <row r="97" spans="1:28" x14ac:dyDescent="0.25">
      <c r="A97" s="129"/>
      <c r="B97" s="446" t="s">
        <v>91</v>
      </c>
      <c r="C97" s="224"/>
      <c r="D97" s="477">
        <f t="shared" ref="D97:O97" si="124">((D13+D25)*1000)/($C$94*30.4)</f>
        <v>231.78430179494981</v>
      </c>
      <c r="E97" s="477">
        <f t="shared" si="124"/>
        <v>218.32888920703664</v>
      </c>
      <c r="F97" s="477">
        <f t="shared" si="124"/>
        <v>222.63506863043364</v>
      </c>
      <c r="G97" s="477">
        <f t="shared" si="124"/>
        <v>251.25718069399954</v>
      </c>
      <c r="H97" s="477">
        <f t="shared" si="124"/>
        <v>258.71749673401456</v>
      </c>
      <c r="I97" s="477">
        <f t="shared" si="124"/>
        <v>265.96530002326455</v>
      </c>
      <c r="J97" s="477">
        <f t="shared" si="124"/>
        <v>278.39170350221013</v>
      </c>
      <c r="K97" s="477">
        <f t="shared" si="124"/>
        <v>272.81044757422291</v>
      </c>
      <c r="L97" s="477">
        <f t="shared" si="124"/>
        <v>272.93348127203421</v>
      </c>
      <c r="M97" s="477">
        <f t="shared" si="124"/>
        <v>263.00130639417313</v>
      </c>
      <c r="N97" s="477">
        <f t="shared" si="124"/>
        <v>228.61898029671255</v>
      </c>
      <c r="O97" s="477">
        <f t="shared" si="124"/>
        <v>258.07995848171947</v>
      </c>
    </row>
    <row r="98" spans="1:28" ht="15.75" thickBot="1" x14ac:dyDescent="0.3">
      <c r="A98" s="226"/>
      <c r="B98" s="447"/>
      <c r="C98" s="197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</row>
    <row r="99" spans="1:28" ht="15.75" x14ac:dyDescent="0.25">
      <c r="B99" s="439" t="s">
        <v>113</v>
      </c>
      <c r="C99" s="242" t="s">
        <v>115</v>
      </c>
      <c r="D99" s="227">
        <v>664389.18999999994</v>
      </c>
      <c r="E99" s="227">
        <v>706023.96</v>
      </c>
      <c r="F99" s="227">
        <v>1206730.27</v>
      </c>
      <c r="G99" s="227">
        <v>850726.94</v>
      </c>
      <c r="H99" s="227"/>
      <c r="I99" s="227"/>
      <c r="J99" s="227"/>
      <c r="K99" s="227"/>
      <c r="L99" s="228"/>
      <c r="M99" s="227"/>
      <c r="N99" s="227"/>
      <c r="O99" s="227"/>
    </row>
    <row r="100" spans="1:28" ht="15.75" x14ac:dyDescent="0.25">
      <c r="B100" s="440"/>
      <c r="C100" s="243" t="s">
        <v>114</v>
      </c>
      <c r="D100" s="229">
        <v>86749.08</v>
      </c>
      <c r="E100" s="229">
        <v>89160.82</v>
      </c>
      <c r="F100" s="229">
        <v>121265.15</v>
      </c>
      <c r="G100" s="229">
        <v>121365.61</v>
      </c>
      <c r="H100" s="229"/>
      <c r="I100" s="229"/>
      <c r="J100" s="229"/>
      <c r="K100" s="229"/>
      <c r="L100" s="230"/>
      <c r="M100" s="229"/>
      <c r="N100" s="229"/>
      <c r="O100" s="229"/>
    </row>
    <row r="101" spans="1:28" ht="18.75" x14ac:dyDescent="0.3">
      <c r="B101" s="440"/>
      <c r="C101" s="244" t="s">
        <v>116</v>
      </c>
      <c r="D101" s="231">
        <v>0</v>
      </c>
      <c r="E101" s="231">
        <v>0</v>
      </c>
      <c r="F101" s="231">
        <v>0</v>
      </c>
      <c r="G101" s="231">
        <v>0</v>
      </c>
      <c r="H101" s="231"/>
      <c r="I101" s="231"/>
      <c r="J101" s="231"/>
      <c r="K101" s="231"/>
      <c r="L101" s="232"/>
      <c r="M101" s="231"/>
      <c r="N101" s="231"/>
      <c r="O101" s="233"/>
    </row>
    <row r="102" spans="1:28" ht="15.75" x14ac:dyDescent="0.25">
      <c r="B102" s="440"/>
      <c r="C102" s="243" t="s">
        <v>120</v>
      </c>
      <c r="D102" s="229">
        <v>257392.86</v>
      </c>
      <c r="E102" s="229">
        <v>259304.69</v>
      </c>
      <c r="F102" s="229">
        <v>276576.37</v>
      </c>
      <c r="G102" s="229">
        <v>276507.40000000002</v>
      </c>
      <c r="H102" s="229"/>
      <c r="I102" s="229"/>
      <c r="J102" s="229"/>
      <c r="K102" s="229"/>
      <c r="L102" s="230"/>
      <c r="M102" s="229"/>
      <c r="N102" s="229"/>
      <c r="O102" s="229"/>
    </row>
    <row r="103" spans="1:28" ht="16.5" thickBot="1" x14ac:dyDescent="0.3">
      <c r="B103" s="440"/>
      <c r="C103" s="243" t="s">
        <v>117</v>
      </c>
      <c r="D103" s="229">
        <v>28567.18</v>
      </c>
      <c r="E103" s="229">
        <v>29843.599999999999</v>
      </c>
      <c r="F103" s="229">
        <v>34436.949999999997</v>
      </c>
      <c r="G103" s="229">
        <v>35258.629999999997</v>
      </c>
      <c r="H103" s="229"/>
      <c r="I103" s="229"/>
      <c r="J103" s="229"/>
      <c r="K103" s="229"/>
      <c r="L103" s="230"/>
      <c r="M103" s="229"/>
      <c r="N103" s="229"/>
      <c r="O103" s="229"/>
    </row>
    <row r="104" spans="1:28" ht="15.75" x14ac:dyDescent="0.25">
      <c r="B104" s="437"/>
      <c r="C104" s="234" t="s">
        <v>95</v>
      </c>
      <c r="D104" s="235">
        <f t="shared" ref="D104:O104" si="125">SUM(D99:D103)</f>
        <v>1037098.3099999999</v>
      </c>
      <c r="E104" s="235">
        <f>SUM(E99:E103)</f>
        <v>1084333.07</v>
      </c>
      <c r="F104" s="235">
        <f t="shared" si="125"/>
        <v>1639008.74</v>
      </c>
      <c r="G104" s="235">
        <f t="shared" si="125"/>
        <v>1283858.5799999998</v>
      </c>
      <c r="H104" s="235">
        <f t="shared" si="125"/>
        <v>0</v>
      </c>
      <c r="I104" s="235">
        <f t="shared" si="125"/>
        <v>0</v>
      </c>
      <c r="J104" s="235">
        <f t="shared" si="125"/>
        <v>0</v>
      </c>
      <c r="K104" s="235">
        <f t="shared" si="125"/>
        <v>0</v>
      </c>
      <c r="L104" s="235">
        <f t="shared" si="125"/>
        <v>0</v>
      </c>
      <c r="M104" s="235">
        <f t="shared" si="125"/>
        <v>0</v>
      </c>
      <c r="N104" s="235">
        <f t="shared" si="125"/>
        <v>0</v>
      </c>
      <c r="O104" s="235">
        <f t="shared" si="125"/>
        <v>0</v>
      </c>
      <c r="Q104" s="391"/>
      <c r="R104" s="391"/>
      <c r="S104" s="391"/>
      <c r="T104" s="391"/>
      <c r="U104" s="391"/>
      <c r="V104" s="391"/>
      <c r="W104" s="391"/>
      <c r="X104" s="391"/>
      <c r="Y104" s="391"/>
      <c r="Z104" s="391"/>
      <c r="AA104" s="391"/>
      <c r="AB104" s="391"/>
    </row>
    <row r="105" spans="1:28" ht="15.75" x14ac:dyDescent="0.25">
      <c r="B105" s="437"/>
      <c r="C105" s="245" t="s">
        <v>70</v>
      </c>
      <c r="D105" s="229"/>
      <c r="E105" s="229"/>
      <c r="F105" s="229"/>
      <c r="G105" s="236"/>
      <c r="H105" s="229"/>
      <c r="I105" s="229"/>
      <c r="J105" s="236"/>
      <c r="K105" s="229"/>
      <c r="L105" s="229"/>
      <c r="M105" s="236"/>
      <c r="N105" s="229"/>
      <c r="O105" s="229"/>
      <c r="Q105" s="391"/>
      <c r="R105" s="391"/>
      <c r="S105" s="391"/>
      <c r="T105" s="391"/>
      <c r="U105" s="391"/>
      <c r="V105" s="391"/>
      <c r="W105" s="391"/>
      <c r="X105" s="391"/>
      <c r="Y105" s="391"/>
      <c r="Z105" s="391"/>
      <c r="AA105" s="391"/>
      <c r="AB105" s="391"/>
    </row>
    <row r="106" spans="1:28" ht="15.75" x14ac:dyDescent="0.25">
      <c r="B106" s="437"/>
      <c r="C106" s="245" t="s">
        <v>17</v>
      </c>
      <c r="D106" s="229"/>
      <c r="E106" s="229"/>
      <c r="F106" s="229"/>
      <c r="G106" s="236"/>
      <c r="H106" s="229"/>
      <c r="I106" s="229"/>
      <c r="J106" s="236"/>
      <c r="K106" s="229"/>
      <c r="L106" s="229"/>
      <c r="M106" s="236"/>
      <c r="N106" s="229"/>
      <c r="O106" s="229"/>
      <c r="Q106" s="391"/>
      <c r="R106" s="391"/>
      <c r="S106" s="391"/>
      <c r="T106" s="391"/>
      <c r="U106" s="391"/>
      <c r="V106" s="391"/>
      <c r="W106" s="391"/>
      <c r="X106" s="391"/>
      <c r="Y106" s="391"/>
      <c r="Z106" s="391"/>
      <c r="AA106" s="391"/>
      <c r="AB106" s="391"/>
    </row>
    <row r="107" spans="1:28" ht="15.75" x14ac:dyDescent="0.25">
      <c r="B107" s="437"/>
      <c r="C107" s="168" t="s">
        <v>118</v>
      </c>
      <c r="D107" s="231"/>
      <c r="E107" s="231"/>
      <c r="F107" s="231"/>
      <c r="G107" s="237"/>
      <c r="H107" s="231"/>
      <c r="I107" s="231"/>
      <c r="J107" s="237"/>
      <c r="K107" s="231"/>
      <c r="L107" s="231"/>
      <c r="M107" s="237"/>
      <c r="N107" s="231"/>
      <c r="O107" s="231"/>
      <c r="Q107" s="391"/>
      <c r="R107" s="391"/>
      <c r="S107" s="391"/>
      <c r="T107" s="391"/>
      <c r="U107" s="391"/>
      <c r="V107" s="391"/>
      <c r="W107" s="391"/>
      <c r="X107" s="391"/>
      <c r="Y107" s="391"/>
      <c r="Z107" s="391"/>
      <c r="AA107" s="391"/>
      <c r="AB107" s="391"/>
    </row>
    <row r="108" spans="1:28" ht="16.5" thickBot="1" x14ac:dyDescent="0.3">
      <c r="B108" s="438"/>
      <c r="C108" s="246" t="s">
        <v>119</v>
      </c>
      <c r="D108" s="238"/>
      <c r="E108" s="238"/>
      <c r="F108" s="238"/>
      <c r="G108" s="239"/>
      <c r="H108" s="238"/>
      <c r="I108" s="240"/>
      <c r="J108" s="239"/>
      <c r="K108" s="240"/>
      <c r="L108" s="240"/>
      <c r="M108" s="241"/>
      <c r="N108" s="240"/>
      <c r="O108" s="238"/>
      <c r="Q108" s="391"/>
      <c r="R108" s="391"/>
      <c r="S108" s="391"/>
      <c r="T108" s="391"/>
      <c r="U108" s="391"/>
      <c r="V108" s="391"/>
      <c r="W108" s="391"/>
      <c r="X108" s="391"/>
      <c r="Y108" s="391"/>
      <c r="Z108" s="391"/>
      <c r="AA108" s="391"/>
      <c r="AB108" s="391"/>
    </row>
    <row r="109" spans="1:28" ht="15.75" thickTop="1" x14ac:dyDescent="0.25">
      <c r="A109" s="442" t="s">
        <v>15</v>
      </c>
      <c r="B109" s="443" t="s">
        <v>25</v>
      </c>
      <c r="C109" s="395" t="s">
        <v>92</v>
      </c>
      <c r="D109" s="203">
        <f>+PIGOO!B86</f>
        <v>0</v>
      </c>
      <c r="E109" s="203">
        <f>+PIGOO!C86</f>
        <v>0</v>
      </c>
      <c r="F109" s="203">
        <f>+PIGOO!D86</f>
        <v>0</v>
      </c>
      <c r="G109" s="203">
        <f>+PIGOO!E86</f>
        <v>0</v>
      </c>
      <c r="H109" s="203">
        <f>+PIGOO!F86</f>
        <v>0</v>
      </c>
      <c r="I109" s="203">
        <f>+PIGOO!G86</f>
        <v>0</v>
      </c>
      <c r="J109" s="203">
        <f>+PIGOO!H86</f>
        <v>0</v>
      </c>
      <c r="K109" s="203">
        <f>+PIGOO!I86</f>
        <v>0</v>
      </c>
      <c r="L109" s="203">
        <f>+PIGOO!J86</f>
        <v>0</v>
      </c>
      <c r="M109" s="203">
        <f>+PIGOO!K86</f>
        <v>0</v>
      </c>
      <c r="N109" s="203">
        <f>+PIGOO!L86</f>
        <v>0</v>
      </c>
      <c r="O109" s="203">
        <f>+PIGOO!M86</f>
        <v>0</v>
      </c>
    </row>
    <row r="110" spans="1:28" ht="15.75" thickBot="1" x14ac:dyDescent="0.3">
      <c r="A110" s="432"/>
      <c r="B110" s="444"/>
      <c r="C110" s="167" t="s">
        <v>69</v>
      </c>
      <c r="D110" s="39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57">
        <v>0</v>
      </c>
      <c r="L110" s="40">
        <v>0</v>
      </c>
      <c r="M110" s="40">
        <v>0</v>
      </c>
      <c r="N110" s="40">
        <v>0</v>
      </c>
      <c r="O110" s="204">
        <v>0</v>
      </c>
      <c r="Q110" s="1" t="s">
        <v>26</v>
      </c>
    </row>
    <row r="111" spans="1:28" x14ac:dyDescent="0.25">
      <c r="A111" s="205"/>
      <c r="B111" s="444"/>
      <c r="C111" s="43" t="s">
        <v>93</v>
      </c>
      <c r="D111" s="47" t="e">
        <f>(D109/D110)-1</f>
        <v>#DIV/0!</v>
      </c>
      <c r="E111" s="13" t="e">
        <f t="shared" ref="E111:G111" si="126">(E109/E110)-1</f>
        <v>#DIV/0!</v>
      </c>
      <c r="F111" s="13" t="e">
        <f t="shared" si="126"/>
        <v>#DIV/0!</v>
      </c>
      <c r="G111" s="13" t="e">
        <f t="shared" si="126"/>
        <v>#DIV/0!</v>
      </c>
      <c r="H111" s="13" t="e">
        <f t="shared" ref="H111:O111" si="127">(H109/H110)-1</f>
        <v>#DIV/0!</v>
      </c>
      <c r="I111" s="13" t="e">
        <f t="shared" si="127"/>
        <v>#DIV/0!</v>
      </c>
      <c r="J111" s="13" t="e">
        <f t="shared" si="127"/>
        <v>#DIV/0!</v>
      </c>
      <c r="K111" s="14" t="e">
        <f>(K109/K110)-1</f>
        <v>#DIV/0!</v>
      </c>
      <c r="L111" s="13" t="e">
        <f t="shared" si="127"/>
        <v>#DIV/0!</v>
      </c>
      <c r="M111" s="13" t="e">
        <f t="shared" si="127"/>
        <v>#DIV/0!</v>
      </c>
      <c r="N111" s="13" t="e">
        <f t="shared" si="127"/>
        <v>#DIV/0!</v>
      </c>
      <c r="O111" s="206" t="e">
        <f t="shared" si="127"/>
        <v>#DIV/0!</v>
      </c>
    </row>
    <row r="112" spans="1:28" x14ac:dyDescent="0.25">
      <c r="A112" s="205"/>
      <c r="B112" s="444"/>
      <c r="C112" s="56" t="s">
        <v>94</v>
      </c>
      <c r="D112" s="58" t="e">
        <f>(D113/D114)-1</f>
        <v>#DIV/0!</v>
      </c>
      <c r="E112" s="59" t="e">
        <f t="shared" ref="E112:G112" si="128">(E113/E114)-1</f>
        <v>#DIV/0!</v>
      </c>
      <c r="F112" s="59" t="e">
        <f t="shared" si="128"/>
        <v>#DIV/0!</v>
      </c>
      <c r="G112" s="59" t="e">
        <f t="shared" si="128"/>
        <v>#DIV/0!</v>
      </c>
      <c r="H112" s="59" t="e">
        <f t="shared" ref="H112:J112" si="129">(H113/H114)-1</f>
        <v>#DIV/0!</v>
      </c>
      <c r="I112" s="59" t="e">
        <f t="shared" si="129"/>
        <v>#DIV/0!</v>
      </c>
      <c r="J112" s="59" t="e">
        <f t="shared" si="129"/>
        <v>#DIV/0!</v>
      </c>
      <c r="K112" s="60" t="e">
        <f>(K113/K114)-1</f>
        <v>#DIV/0!</v>
      </c>
      <c r="L112" s="59" t="e">
        <f t="shared" ref="L112:O112" si="130">(L113/L114)-1</f>
        <v>#DIV/0!</v>
      </c>
      <c r="M112" s="59" t="e">
        <f t="shared" si="130"/>
        <v>#DIV/0!</v>
      </c>
      <c r="N112" s="59" t="e">
        <f t="shared" si="130"/>
        <v>#DIV/0!</v>
      </c>
      <c r="O112" s="207" t="e">
        <f t="shared" si="130"/>
        <v>#DIV/0!</v>
      </c>
    </row>
    <row r="113" spans="1:15" x14ac:dyDescent="0.25">
      <c r="A113" s="205"/>
      <c r="B113" s="444"/>
      <c r="C113" s="43" t="s">
        <v>95</v>
      </c>
      <c r="D113" s="6">
        <f>+D109</f>
        <v>0</v>
      </c>
      <c r="E113" s="7">
        <f t="shared" ref="E113:G114" si="131">D113+E109</f>
        <v>0</v>
      </c>
      <c r="F113" s="7">
        <f t="shared" si="131"/>
        <v>0</v>
      </c>
      <c r="G113" s="7">
        <f t="shared" si="131"/>
        <v>0</v>
      </c>
      <c r="H113" s="7">
        <f t="shared" ref="H113:J114" si="132">G113+H109</f>
        <v>0</v>
      </c>
      <c r="I113" s="7">
        <f t="shared" si="132"/>
        <v>0</v>
      </c>
      <c r="J113" s="7">
        <f t="shared" si="132"/>
        <v>0</v>
      </c>
      <c r="K113" s="7">
        <f t="shared" ref="K113:K114" si="133">J113+K109</f>
        <v>0</v>
      </c>
      <c r="L113" s="7">
        <f t="shared" ref="L113:L114" si="134">K113+L109</f>
        <v>0</v>
      </c>
      <c r="M113" s="7">
        <f t="shared" ref="M113:M114" si="135">L113+M109</f>
        <v>0</v>
      </c>
      <c r="N113" s="7">
        <f t="shared" ref="N113:N114" si="136">M113+N109</f>
        <v>0</v>
      </c>
      <c r="O113" s="208">
        <f t="shared" ref="O113:O114" si="137">N113+O109</f>
        <v>0</v>
      </c>
    </row>
    <row r="114" spans="1:15" ht="15.75" thickBot="1" x14ac:dyDescent="0.3">
      <c r="A114" s="205"/>
      <c r="B114" s="445"/>
      <c r="C114" s="61" t="s">
        <v>70</v>
      </c>
      <c r="D114" s="62">
        <f>+D110</f>
        <v>0</v>
      </c>
      <c r="E114" s="40">
        <f t="shared" si="131"/>
        <v>0</v>
      </c>
      <c r="F114" s="40">
        <f t="shared" si="131"/>
        <v>0</v>
      </c>
      <c r="G114" s="40">
        <f t="shared" si="131"/>
        <v>0</v>
      </c>
      <c r="H114" s="40">
        <f t="shared" si="132"/>
        <v>0</v>
      </c>
      <c r="I114" s="40">
        <f t="shared" si="132"/>
        <v>0</v>
      </c>
      <c r="J114" s="40">
        <f t="shared" si="132"/>
        <v>0</v>
      </c>
      <c r="K114" s="40">
        <f t="shared" si="133"/>
        <v>0</v>
      </c>
      <c r="L114" s="40">
        <f t="shared" si="134"/>
        <v>0</v>
      </c>
      <c r="M114" s="40">
        <f t="shared" si="135"/>
        <v>0</v>
      </c>
      <c r="N114" s="40">
        <f t="shared" si="136"/>
        <v>0</v>
      </c>
      <c r="O114" s="204">
        <f t="shared" si="137"/>
        <v>0</v>
      </c>
    </row>
    <row r="115" spans="1:15" x14ac:dyDescent="0.25">
      <c r="A115" s="431" t="s">
        <v>15</v>
      </c>
      <c r="B115" s="425" t="s">
        <v>27</v>
      </c>
      <c r="C115" s="52" t="s">
        <v>92</v>
      </c>
      <c r="D115" s="146">
        <f>+PIGOO!B87</f>
        <v>0</v>
      </c>
      <c r="E115" s="146">
        <f>+PIGOO!C87</f>
        <v>0</v>
      </c>
      <c r="F115" s="146">
        <f>+PIGOO!D87</f>
        <v>0</v>
      </c>
      <c r="G115" s="146">
        <f>+PIGOO!E87</f>
        <v>0</v>
      </c>
      <c r="H115" s="146">
        <f>+PIGOO!F87</f>
        <v>0</v>
      </c>
      <c r="I115" s="146">
        <f>+PIGOO!G87</f>
        <v>0</v>
      </c>
      <c r="J115" s="146">
        <f>+PIGOO!H87</f>
        <v>0</v>
      </c>
      <c r="K115" s="146">
        <f>+PIGOO!I87</f>
        <v>0</v>
      </c>
      <c r="L115" s="146">
        <f>+PIGOO!J87</f>
        <v>0</v>
      </c>
      <c r="M115" s="146">
        <f>+PIGOO!K87</f>
        <v>0</v>
      </c>
      <c r="N115" s="146">
        <f>+PIGOO!L87</f>
        <v>0</v>
      </c>
      <c r="O115" s="146">
        <f>+PIGOO!M87</f>
        <v>0</v>
      </c>
    </row>
    <row r="116" spans="1:15" ht="15.75" thickBot="1" x14ac:dyDescent="0.3">
      <c r="A116" s="432"/>
      <c r="B116" s="426"/>
      <c r="C116" s="168" t="s">
        <v>69</v>
      </c>
      <c r="D116" s="148">
        <v>0</v>
      </c>
      <c r="E116" s="149">
        <v>0</v>
      </c>
      <c r="F116" s="10">
        <v>0</v>
      </c>
      <c r="G116" s="10">
        <v>0</v>
      </c>
      <c r="H116" s="64">
        <v>0</v>
      </c>
      <c r="I116" s="64">
        <v>0</v>
      </c>
      <c r="J116" s="10">
        <v>0</v>
      </c>
      <c r="K116" s="11">
        <v>0</v>
      </c>
      <c r="L116" s="10">
        <v>0</v>
      </c>
      <c r="M116" s="10">
        <v>0</v>
      </c>
      <c r="N116" s="10">
        <v>0</v>
      </c>
      <c r="O116" s="209">
        <v>0</v>
      </c>
    </row>
    <row r="117" spans="1:15" x14ac:dyDescent="0.25">
      <c r="A117" s="205"/>
      <c r="B117" s="426"/>
      <c r="C117" s="43" t="s">
        <v>93</v>
      </c>
      <c r="D117" s="47" t="e">
        <f>(D115/D116)-1</f>
        <v>#DIV/0!</v>
      </c>
      <c r="E117" s="13" t="e">
        <f t="shared" ref="E117:O117" si="138">(E115/E116)-1</f>
        <v>#DIV/0!</v>
      </c>
      <c r="F117" s="13" t="e">
        <f t="shared" si="138"/>
        <v>#DIV/0!</v>
      </c>
      <c r="G117" s="13" t="e">
        <f t="shared" si="138"/>
        <v>#DIV/0!</v>
      </c>
      <c r="H117" s="13" t="e">
        <f t="shared" si="138"/>
        <v>#DIV/0!</v>
      </c>
      <c r="I117" s="13" t="e">
        <f t="shared" si="138"/>
        <v>#DIV/0!</v>
      </c>
      <c r="J117" s="13" t="e">
        <f t="shared" si="138"/>
        <v>#DIV/0!</v>
      </c>
      <c r="K117" s="14" t="e">
        <f>(K115/K116)-1</f>
        <v>#DIV/0!</v>
      </c>
      <c r="L117" s="13" t="e">
        <f t="shared" si="138"/>
        <v>#DIV/0!</v>
      </c>
      <c r="M117" s="13" t="e">
        <f t="shared" si="138"/>
        <v>#DIV/0!</v>
      </c>
      <c r="N117" s="13" t="e">
        <f t="shared" si="138"/>
        <v>#DIV/0!</v>
      </c>
      <c r="O117" s="206" t="e">
        <f t="shared" si="138"/>
        <v>#DIV/0!</v>
      </c>
    </row>
    <row r="118" spans="1:15" x14ac:dyDescent="0.25">
      <c r="A118" s="205"/>
      <c r="B118" s="426"/>
      <c r="C118" s="63" t="s">
        <v>94</v>
      </c>
      <c r="D118" s="65" t="e">
        <f>(D119/D120)-1</f>
        <v>#DIV/0!</v>
      </c>
      <c r="E118" s="15" t="e">
        <f t="shared" ref="E118:O118" si="139">(E119/E120)-1</f>
        <v>#DIV/0!</v>
      </c>
      <c r="F118" s="15" t="e">
        <f t="shared" si="139"/>
        <v>#DIV/0!</v>
      </c>
      <c r="G118" s="15" t="e">
        <f t="shared" si="139"/>
        <v>#DIV/0!</v>
      </c>
      <c r="H118" s="15" t="e">
        <f t="shared" si="139"/>
        <v>#DIV/0!</v>
      </c>
      <c r="I118" s="15" t="e">
        <f t="shared" si="139"/>
        <v>#DIV/0!</v>
      </c>
      <c r="J118" s="15" t="e">
        <f t="shared" si="139"/>
        <v>#DIV/0!</v>
      </c>
      <c r="K118" s="16" t="e">
        <f>(K119/K120)-1</f>
        <v>#DIV/0!</v>
      </c>
      <c r="L118" s="15" t="e">
        <f t="shared" si="139"/>
        <v>#DIV/0!</v>
      </c>
      <c r="M118" s="15" t="e">
        <f t="shared" si="139"/>
        <v>#DIV/0!</v>
      </c>
      <c r="N118" s="15" t="e">
        <f t="shared" si="139"/>
        <v>#DIV/0!</v>
      </c>
      <c r="O118" s="210" t="e">
        <f t="shared" si="139"/>
        <v>#DIV/0!</v>
      </c>
    </row>
    <row r="119" spans="1:15" x14ac:dyDescent="0.25">
      <c r="A119" s="205"/>
      <c r="B119" s="426"/>
      <c r="C119" s="43" t="s">
        <v>95</v>
      </c>
      <c r="D119" s="6">
        <f>D115</f>
        <v>0</v>
      </c>
      <c r="E119" s="7">
        <f t="shared" ref="E119:J120" si="140">D119+E115</f>
        <v>0</v>
      </c>
      <c r="F119" s="7">
        <f t="shared" si="140"/>
        <v>0</v>
      </c>
      <c r="G119" s="7">
        <f t="shared" si="140"/>
        <v>0</v>
      </c>
      <c r="H119" s="7">
        <f t="shared" si="140"/>
        <v>0</v>
      </c>
      <c r="I119" s="7">
        <f t="shared" si="140"/>
        <v>0</v>
      </c>
      <c r="J119" s="7">
        <f t="shared" si="140"/>
        <v>0</v>
      </c>
      <c r="K119" s="7">
        <f t="shared" ref="K119:K120" si="141">J119+K115</f>
        <v>0</v>
      </c>
      <c r="L119" s="7">
        <f t="shared" ref="L119:L120" si="142">K119+L115</f>
        <v>0</v>
      </c>
      <c r="M119" s="7">
        <f t="shared" ref="M119:M120" si="143">L119+M115</f>
        <v>0</v>
      </c>
      <c r="N119" s="7">
        <f t="shared" ref="N119:N120" si="144">M119+N115</f>
        <v>0</v>
      </c>
      <c r="O119" s="208">
        <f t="shared" ref="O119:O120" si="145">N119+O115</f>
        <v>0</v>
      </c>
    </row>
    <row r="120" spans="1:15" ht="15.75" thickBot="1" x14ac:dyDescent="0.3">
      <c r="A120" s="205"/>
      <c r="B120" s="426"/>
      <c r="C120" s="66" t="s">
        <v>70</v>
      </c>
      <c r="D120" s="67">
        <f>D116</f>
        <v>0</v>
      </c>
      <c r="E120" s="68">
        <f t="shared" si="140"/>
        <v>0</v>
      </c>
      <c r="F120" s="68">
        <f t="shared" si="140"/>
        <v>0</v>
      </c>
      <c r="G120" s="68">
        <f t="shared" si="140"/>
        <v>0</v>
      </c>
      <c r="H120" s="68">
        <f t="shared" si="140"/>
        <v>0</v>
      </c>
      <c r="I120" s="68">
        <f t="shared" si="140"/>
        <v>0</v>
      </c>
      <c r="J120" s="68">
        <f t="shared" si="140"/>
        <v>0</v>
      </c>
      <c r="K120" s="68">
        <f t="shared" si="141"/>
        <v>0</v>
      </c>
      <c r="L120" s="68">
        <f t="shared" si="142"/>
        <v>0</v>
      </c>
      <c r="M120" s="68">
        <f t="shared" si="143"/>
        <v>0</v>
      </c>
      <c r="N120" s="68">
        <f t="shared" si="144"/>
        <v>0</v>
      </c>
      <c r="O120" s="211">
        <f t="shared" si="145"/>
        <v>0</v>
      </c>
    </row>
    <row r="121" spans="1:15" x14ac:dyDescent="0.25">
      <c r="A121" s="431" t="s">
        <v>15</v>
      </c>
      <c r="B121" s="428" t="s">
        <v>28</v>
      </c>
      <c r="C121" s="165" t="s">
        <v>92</v>
      </c>
      <c r="D121" s="152">
        <v>0</v>
      </c>
      <c r="E121" s="152">
        <v>0</v>
      </c>
      <c r="F121" s="152">
        <v>0</v>
      </c>
      <c r="G121" s="152">
        <v>0</v>
      </c>
      <c r="H121" s="152">
        <v>0</v>
      </c>
      <c r="I121" s="152">
        <v>0</v>
      </c>
      <c r="J121" s="152">
        <v>0</v>
      </c>
      <c r="K121" s="152">
        <v>0</v>
      </c>
      <c r="L121" s="152">
        <v>0</v>
      </c>
      <c r="M121" s="152">
        <v>0</v>
      </c>
      <c r="N121" s="152">
        <v>0</v>
      </c>
      <c r="O121" s="152">
        <v>0</v>
      </c>
    </row>
    <row r="122" spans="1:15" ht="15.75" thickBot="1" x14ac:dyDescent="0.3">
      <c r="A122" s="432"/>
      <c r="B122" s="429"/>
      <c r="C122" s="169" t="s">
        <v>69</v>
      </c>
      <c r="D122" s="153">
        <v>0</v>
      </c>
      <c r="E122" s="153">
        <v>0</v>
      </c>
      <c r="F122" s="153">
        <v>0</v>
      </c>
      <c r="G122" s="153">
        <v>0</v>
      </c>
      <c r="H122" s="153">
        <v>0</v>
      </c>
      <c r="I122" s="153">
        <v>0</v>
      </c>
      <c r="J122" s="153">
        <v>0</v>
      </c>
      <c r="K122" s="153">
        <v>0</v>
      </c>
      <c r="L122" s="153">
        <v>0</v>
      </c>
      <c r="M122" s="153">
        <v>0</v>
      </c>
      <c r="N122" s="153">
        <v>0</v>
      </c>
      <c r="O122" s="153">
        <v>0</v>
      </c>
    </row>
    <row r="123" spans="1:15" x14ac:dyDescent="0.25">
      <c r="A123" s="205"/>
      <c r="B123" s="429"/>
      <c r="C123" s="43" t="s">
        <v>93</v>
      </c>
      <c r="D123" s="47" t="e">
        <f>(D121/D122)-1</f>
        <v>#DIV/0!</v>
      </c>
      <c r="E123" s="13" t="e">
        <f t="shared" ref="E123:J123" si="146">(E121/E122)-1</f>
        <v>#DIV/0!</v>
      </c>
      <c r="F123" s="13" t="e">
        <f t="shared" si="146"/>
        <v>#DIV/0!</v>
      </c>
      <c r="G123" s="13" t="e">
        <f t="shared" si="146"/>
        <v>#DIV/0!</v>
      </c>
      <c r="H123" s="13" t="e">
        <f t="shared" si="146"/>
        <v>#DIV/0!</v>
      </c>
      <c r="I123" s="13" t="e">
        <f t="shared" si="146"/>
        <v>#DIV/0!</v>
      </c>
      <c r="J123" s="13" t="e">
        <f t="shared" si="146"/>
        <v>#DIV/0!</v>
      </c>
      <c r="K123" s="14" t="e">
        <f>(K121/K122)-1</f>
        <v>#DIV/0!</v>
      </c>
      <c r="L123" s="13" t="e">
        <f t="shared" ref="L123:O123" si="147">(L121/L122)-1</f>
        <v>#DIV/0!</v>
      </c>
      <c r="M123" s="13" t="e">
        <f t="shared" si="147"/>
        <v>#DIV/0!</v>
      </c>
      <c r="N123" s="13" t="e">
        <f t="shared" si="147"/>
        <v>#DIV/0!</v>
      </c>
      <c r="O123" s="206" t="e">
        <f t="shared" si="147"/>
        <v>#DIV/0!</v>
      </c>
    </row>
    <row r="124" spans="1:15" x14ac:dyDescent="0.25">
      <c r="A124" s="205"/>
      <c r="B124" s="429"/>
      <c r="C124" s="70" t="s">
        <v>94</v>
      </c>
      <c r="D124" s="71" t="e">
        <f>(D125/D126)-1</f>
        <v>#DIV/0!</v>
      </c>
      <c r="E124" s="25" t="e">
        <f t="shared" ref="E124:J124" si="148">(E125/E126)-1</f>
        <v>#DIV/0!</v>
      </c>
      <c r="F124" s="25" t="e">
        <f t="shared" si="148"/>
        <v>#DIV/0!</v>
      </c>
      <c r="G124" s="25" t="e">
        <f t="shared" si="148"/>
        <v>#DIV/0!</v>
      </c>
      <c r="H124" s="25" t="e">
        <f t="shared" si="148"/>
        <v>#DIV/0!</v>
      </c>
      <c r="I124" s="25" t="e">
        <f t="shared" si="148"/>
        <v>#DIV/0!</v>
      </c>
      <c r="J124" s="25" t="e">
        <f t="shared" si="148"/>
        <v>#DIV/0!</v>
      </c>
      <c r="K124" s="26" t="e">
        <f>(K125/K126)-1</f>
        <v>#DIV/0!</v>
      </c>
      <c r="L124" s="25" t="e">
        <f t="shared" ref="L124:O124" si="149">(L125/L126)-1</f>
        <v>#DIV/0!</v>
      </c>
      <c r="M124" s="25" t="e">
        <f t="shared" si="149"/>
        <v>#DIV/0!</v>
      </c>
      <c r="N124" s="25" t="e">
        <f t="shared" si="149"/>
        <v>#DIV/0!</v>
      </c>
      <c r="O124" s="213" t="e">
        <f t="shared" si="149"/>
        <v>#DIV/0!</v>
      </c>
    </row>
    <row r="125" spans="1:15" x14ac:dyDescent="0.25">
      <c r="A125" s="205"/>
      <c r="B125" s="429"/>
      <c r="C125" s="43" t="s">
        <v>95</v>
      </c>
      <c r="D125" s="6">
        <f>D121</f>
        <v>0</v>
      </c>
      <c r="E125" s="7">
        <f t="shared" ref="E125:J126" si="150">D125+E121</f>
        <v>0</v>
      </c>
      <c r="F125" s="7">
        <f t="shared" si="150"/>
        <v>0</v>
      </c>
      <c r="G125" s="7">
        <f t="shared" si="150"/>
        <v>0</v>
      </c>
      <c r="H125" s="7">
        <f t="shared" si="150"/>
        <v>0</v>
      </c>
      <c r="I125" s="7">
        <f t="shared" si="150"/>
        <v>0</v>
      </c>
      <c r="J125" s="7">
        <f t="shared" si="150"/>
        <v>0</v>
      </c>
      <c r="K125" s="7">
        <f t="shared" ref="K125:K126" si="151">J125+K121</f>
        <v>0</v>
      </c>
      <c r="L125" s="7">
        <f t="shared" ref="L125:L126" si="152">K125+L121</f>
        <v>0</v>
      </c>
      <c r="M125" s="7">
        <f t="shared" ref="M125:M126" si="153">L125+M121</f>
        <v>0</v>
      </c>
      <c r="N125" s="7">
        <f t="shared" ref="N125:O126" si="154">M125+N121</f>
        <v>0</v>
      </c>
      <c r="O125" s="208">
        <f t="shared" si="154"/>
        <v>0</v>
      </c>
    </row>
    <row r="126" spans="1:15" ht="15.75" thickBot="1" x14ac:dyDescent="0.3">
      <c r="A126" s="205"/>
      <c r="B126" s="430"/>
      <c r="C126" s="72" t="s">
        <v>70</v>
      </c>
      <c r="D126" s="22">
        <f>D122</f>
        <v>0</v>
      </c>
      <c r="E126" s="23">
        <f t="shared" si="150"/>
        <v>0</v>
      </c>
      <c r="F126" s="23">
        <f t="shared" si="150"/>
        <v>0</v>
      </c>
      <c r="G126" s="23">
        <f t="shared" si="150"/>
        <v>0</v>
      </c>
      <c r="H126" s="23">
        <f t="shared" si="150"/>
        <v>0</v>
      </c>
      <c r="I126" s="23">
        <f t="shared" si="150"/>
        <v>0</v>
      </c>
      <c r="J126" s="23">
        <f t="shared" si="150"/>
        <v>0</v>
      </c>
      <c r="K126" s="23">
        <f t="shared" si="151"/>
        <v>0</v>
      </c>
      <c r="L126" s="23">
        <f t="shared" si="152"/>
        <v>0</v>
      </c>
      <c r="M126" s="23">
        <f t="shared" si="153"/>
        <v>0</v>
      </c>
      <c r="N126" s="23">
        <f t="shared" si="154"/>
        <v>0</v>
      </c>
      <c r="O126" s="212">
        <f t="shared" si="154"/>
        <v>0</v>
      </c>
    </row>
    <row r="127" spans="1:15" x14ac:dyDescent="0.25">
      <c r="A127" s="450" t="s">
        <v>22</v>
      </c>
      <c r="B127" s="417" t="s">
        <v>29</v>
      </c>
      <c r="C127" s="165" t="s">
        <v>92</v>
      </c>
      <c r="D127" s="146">
        <v>0</v>
      </c>
      <c r="E127" s="146">
        <v>0</v>
      </c>
      <c r="F127" s="146">
        <v>0</v>
      </c>
      <c r="G127" s="146">
        <v>0</v>
      </c>
      <c r="H127" s="146">
        <v>0</v>
      </c>
      <c r="I127" s="146">
        <v>0</v>
      </c>
      <c r="J127" s="146">
        <v>0</v>
      </c>
      <c r="K127" s="146">
        <v>0</v>
      </c>
      <c r="L127" s="146">
        <v>0</v>
      </c>
      <c r="M127" s="146">
        <v>0</v>
      </c>
      <c r="N127" s="146">
        <v>0</v>
      </c>
      <c r="O127" s="146">
        <v>0</v>
      </c>
    </row>
    <row r="128" spans="1:15" ht="15.75" thickBot="1" x14ac:dyDescent="0.3">
      <c r="A128" s="451"/>
      <c r="B128" s="418"/>
      <c r="C128" s="166" t="s">
        <v>69</v>
      </c>
      <c r="D128" s="150">
        <v>0</v>
      </c>
      <c r="E128" s="150">
        <v>0</v>
      </c>
      <c r="F128" s="150">
        <v>0</v>
      </c>
      <c r="G128" s="150">
        <v>0</v>
      </c>
      <c r="H128" s="150">
        <v>0</v>
      </c>
      <c r="I128" s="150">
        <v>0</v>
      </c>
      <c r="J128" s="150">
        <v>0</v>
      </c>
      <c r="K128" s="150">
        <v>0</v>
      </c>
      <c r="L128" s="150">
        <v>0</v>
      </c>
      <c r="M128" s="150">
        <v>0</v>
      </c>
      <c r="N128" s="150">
        <v>0</v>
      </c>
      <c r="O128" s="150">
        <v>0</v>
      </c>
    </row>
    <row r="129" spans="1:15" x14ac:dyDescent="0.25">
      <c r="A129" s="205"/>
      <c r="B129" s="418"/>
      <c r="C129" s="43" t="s">
        <v>93</v>
      </c>
      <c r="D129" s="47" t="e">
        <f>(D127/D128)-1</f>
        <v>#DIV/0!</v>
      </c>
      <c r="E129" s="13" t="e">
        <f t="shared" ref="E129:J129" si="155">(E127/E128)-1</f>
        <v>#DIV/0!</v>
      </c>
      <c r="F129" s="13" t="e">
        <f t="shared" si="155"/>
        <v>#DIV/0!</v>
      </c>
      <c r="G129" s="13" t="e">
        <f t="shared" si="155"/>
        <v>#DIV/0!</v>
      </c>
      <c r="H129" s="13" t="e">
        <f t="shared" si="155"/>
        <v>#DIV/0!</v>
      </c>
      <c r="I129" s="13" t="e">
        <f t="shared" si="155"/>
        <v>#DIV/0!</v>
      </c>
      <c r="J129" s="13" t="e">
        <f t="shared" si="155"/>
        <v>#DIV/0!</v>
      </c>
      <c r="K129" s="14" t="e">
        <f>(K127/K128)-1</f>
        <v>#DIV/0!</v>
      </c>
      <c r="L129" s="13" t="e">
        <f t="shared" ref="L129:O129" si="156">(L127/L128)-1</f>
        <v>#DIV/0!</v>
      </c>
      <c r="M129" s="13" t="e">
        <f t="shared" si="156"/>
        <v>#DIV/0!</v>
      </c>
      <c r="N129" s="13" t="e">
        <f t="shared" si="156"/>
        <v>#DIV/0!</v>
      </c>
      <c r="O129" s="206" t="e">
        <f t="shared" si="156"/>
        <v>#DIV/0!</v>
      </c>
    </row>
    <row r="130" spans="1:15" x14ac:dyDescent="0.25">
      <c r="A130" s="205"/>
      <c r="B130" s="418"/>
      <c r="C130" s="45" t="s">
        <v>94</v>
      </c>
      <c r="D130" s="48" t="e">
        <f>(D131/D132)-1</f>
        <v>#DIV/0!</v>
      </c>
      <c r="E130" s="30" t="e">
        <f t="shared" ref="E130:J130" si="157">(E131/E132)-1</f>
        <v>#DIV/0!</v>
      </c>
      <c r="F130" s="30" t="e">
        <f t="shared" si="157"/>
        <v>#DIV/0!</v>
      </c>
      <c r="G130" s="30" t="e">
        <f t="shared" si="157"/>
        <v>#DIV/0!</v>
      </c>
      <c r="H130" s="30" t="e">
        <f t="shared" si="157"/>
        <v>#DIV/0!</v>
      </c>
      <c r="I130" s="30" t="e">
        <f t="shared" si="157"/>
        <v>#DIV/0!</v>
      </c>
      <c r="J130" s="30" t="e">
        <f t="shared" si="157"/>
        <v>#DIV/0!</v>
      </c>
      <c r="K130" s="31" t="e">
        <f>(K131/K132)-1</f>
        <v>#DIV/0!</v>
      </c>
      <c r="L130" s="30" t="e">
        <f t="shared" ref="L130:O130" si="158">(L131/L132)-1</f>
        <v>#DIV/0!</v>
      </c>
      <c r="M130" s="30" t="e">
        <f t="shared" si="158"/>
        <v>#DIV/0!</v>
      </c>
      <c r="N130" s="30" t="e">
        <f t="shared" si="158"/>
        <v>#DIV/0!</v>
      </c>
      <c r="O130" s="214" t="e">
        <f t="shared" si="158"/>
        <v>#DIV/0!</v>
      </c>
    </row>
    <row r="131" spans="1:15" x14ac:dyDescent="0.25">
      <c r="A131" s="205"/>
      <c r="B131" s="418"/>
      <c r="C131" s="43" t="s">
        <v>95</v>
      </c>
      <c r="D131" s="6">
        <f>D127</f>
        <v>0</v>
      </c>
      <c r="E131" s="7">
        <f t="shared" ref="E131:J132" si="159">D131+E127</f>
        <v>0</v>
      </c>
      <c r="F131" s="7">
        <f t="shared" si="159"/>
        <v>0</v>
      </c>
      <c r="G131" s="7">
        <f t="shared" si="159"/>
        <v>0</v>
      </c>
      <c r="H131" s="7">
        <f t="shared" si="159"/>
        <v>0</v>
      </c>
      <c r="I131" s="7">
        <f t="shared" si="159"/>
        <v>0</v>
      </c>
      <c r="J131" s="7">
        <f t="shared" si="159"/>
        <v>0</v>
      </c>
      <c r="K131" s="7">
        <f t="shared" ref="K131:K132" si="160">J131+K127</f>
        <v>0</v>
      </c>
      <c r="L131" s="7">
        <f t="shared" ref="L131:L132" si="161">K131+L127</f>
        <v>0</v>
      </c>
      <c r="M131" s="7">
        <f t="shared" ref="M131:M132" si="162">L131+M127</f>
        <v>0</v>
      </c>
      <c r="N131" s="7">
        <f t="shared" ref="N131:O132" si="163">M131+N127</f>
        <v>0</v>
      </c>
      <c r="O131" s="208">
        <f t="shared" si="163"/>
        <v>0</v>
      </c>
    </row>
    <row r="132" spans="1:15" ht="15.75" thickBot="1" x14ac:dyDescent="0.3">
      <c r="A132" s="205"/>
      <c r="B132" s="418"/>
      <c r="C132" s="49" t="s">
        <v>70</v>
      </c>
      <c r="D132" s="75">
        <f>D128</f>
        <v>0</v>
      </c>
      <c r="E132" s="76">
        <f t="shared" si="159"/>
        <v>0</v>
      </c>
      <c r="F132" s="76">
        <f t="shared" si="159"/>
        <v>0</v>
      </c>
      <c r="G132" s="76">
        <f t="shared" si="159"/>
        <v>0</v>
      </c>
      <c r="H132" s="76">
        <f t="shared" si="159"/>
        <v>0</v>
      </c>
      <c r="I132" s="76">
        <f t="shared" si="159"/>
        <v>0</v>
      </c>
      <c r="J132" s="76">
        <f t="shared" si="159"/>
        <v>0</v>
      </c>
      <c r="K132" s="76">
        <f t="shared" si="160"/>
        <v>0</v>
      </c>
      <c r="L132" s="76">
        <f t="shared" si="161"/>
        <v>0</v>
      </c>
      <c r="M132" s="76">
        <f t="shared" si="162"/>
        <v>0</v>
      </c>
      <c r="N132" s="76">
        <f t="shared" si="163"/>
        <v>0</v>
      </c>
      <c r="O132" s="215">
        <f t="shared" si="163"/>
        <v>0</v>
      </c>
    </row>
    <row r="133" spans="1:15" x14ac:dyDescent="0.25">
      <c r="A133" s="450" t="s">
        <v>22</v>
      </c>
      <c r="B133" s="452" t="s">
        <v>30</v>
      </c>
      <c r="C133" s="165" t="s">
        <v>92</v>
      </c>
      <c r="D133" s="69">
        <v>0</v>
      </c>
      <c r="E133" s="69">
        <v>0</v>
      </c>
      <c r="F133" s="69">
        <v>0</v>
      </c>
      <c r="G133" s="69">
        <v>0</v>
      </c>
      <c r="H133" s="69">
        <v>0</v>
      </c>
      <c r="I133" s="69">
        <v>0</v>
      </c>
      <c r="J133" s="69">
        <v>0</v>
      </c>
      <c r="K133" s="69">
        <v>0</v>
      </c>
      <c r="L133" s="69">
        <v>0</v>
      </c>
      <c r="M133" s="69">
        <v>0</v>
      </c>
      <c r="N133" s="69">
        <v>0</v>
      </c>
      <c r="O133" s="69">
        <v>0</v>
      </c>
    </row>
    <row r="134" spans="1:15" ht="15.75" thickBot="1" x14ac:dyDescent="0.3">
      <c r="A134" s="451"/>
      <c r="B134" s="444"/>
      <c r="C134" s="167" t="s">
        <v>69</v>
      </c>
      <c r="D134" s="77">
        <v>0</v>
      </c>
      <c r="E134" s="77">
        <v>0</v>
      </c>
      <c r="F134" s="77">
        <v>0</v>
      </c>
      <c r="G134" s="77">
        <v>0</v>
      </c>
      <c r="H134" s="77">
        <v>0</v>
      </c>
      <c r="I134" s="77">
        <v>0</v>
      </c>
      <c r="J134" s="77">
        <v>0</v>
      </c>
      <c r="K134" s="77">
        <v>0</v>
      </c>
      <c r="L134" s="77">
        <v>0</v>
      </c>
      <c r="M134" s="77">
        <v>0</v>
      </c>
      <c r="N134" s="77">
        <v>0</v>
      </c>
      <c r="O134" s="77">
        <v>0</v>
      </c>
    </row>
    <row r="135" spans="1:15" x14ac:dyDescent="0.25">
      <c r="A135" s="205"/>
      <c r="B135" s="444"/>
      <c r="C135" s="43" t="s">
        <v>93</v>
      </c>
      <c r="D135" s="78" t="e">
        <f>(D133/D134)-1</f>
        <v>#DIV/0!</v>
      </c>
      <c r="E135" s="79" t="e">
        <f t="shared" ref="E135:J135" si="164">(E133/E134)-1</f>
        <v>#DIV/0!</v>
      </c>
      <c r="F135" s="79" t="e">
        <f t="shared" si="164"/>
        <v>#DIV/0!</v>
      </c>
      <c r="G135" s="79" t="e">
        <f t="shared" si="164"/>
        <v>#DIV/0!</v>
      </c>
      <c r="H135" s="79" t="e">
        <f t="shared" si="164"/>
        <v>#DIV/0!</v>
      </c>
      <c r="I135" s="79" t="e">
        <f t="shared" si="164"/>
        <v>#DIV/0!</v>
      </c>
      <c r="J135" s="79" t="e">
        <f t="shared" si="164"/>
        <v>#DIV/0!</v>
      </c>
      <c r="K135" s="14" t="e">
        <f>(K133/K134)-1</f>
        <v>#DIV/0!</v>
      </c>
      <c r="L135" s="13" t="e">
        <f t="shared" ref="L135:O135" si="165">(L133/L134)-1</f>
        <v>#DIV/0!</v>
      </c>
      <c r="M135" s="13" t="e">
        <f t="shared" si="165"/>
        <v>#DIV/0!</v>
      </c>
      <c r="N135" s="13" t="e">
        <f t="shared" si="165"/>
        <v>#DIV/0!</v>
      </c>
      <c r="O135" s="206" t="e">
        <f t="shared" si="165"/>
        <v>#DIV/0!</v>
      </c>
    </row>
    <row r="136" spans="1:15" x14ac:dyDescent="0.25">
      <c r="A136" s="205"/>
      <c r="B136" s="444"/>
      <c r="C136" s="56" t="s">
        <v>94</v>
      </c>
      <c r="D136" s="80" t="e">
        <f>(D137/D138)-1</f>
        <v>#DIV/0!</v>
      </c>
      <c r="E136" s="81" t="e">
        <f t="shared" ref="E136:J136" si="166">(E137/E138)-1</f>
        <v>#DIV/0!</v>
      </c>
      <c r="F136" s="81" t="e">
        <f t="shared" si="166"/>
        <v>#DIV/0!</v>
      </c>
      <c r="G136" s="81" t="e">
        <f t="shared" si="166"/>
        <v>#DIV/0!</v>
      </c>
      <c r="H136" s="81" t="e">
        <f t="shared" si="166"/>
        <v>#DIV/0!</v>
      </c>
      <c r="I136" s="81" t="e">
        <f t="shared" si="166"/>
        <v>#DIV/0!</v>
      </c>
      <c r="J136" s="81" t="e">
        <f t="shared" si="166"/>
        <v>#DIV/0!</v>
      </c>
      <c r="K136" s="60" t="e">
        <f>(K137/K138)-1</f>
        <v>#DIV/0!</v>
      </c>
      <c r="L136" s="59" t="e">
        <f t="shared" ref="L136:O136" si="167">(L137/L138)-1</f>
        <v>#DIV/0!</v>
      </c>
      <c r="M136" s="59" t="e">
        <f t="shared" si="167"/>
        <v>#DIV/0!</v>
      </c>
      <c r="N136" s="59" t="e">
        <f t="shared" si="167"/>
        <v>#DIV/0!</v>
      </c>
      <c r="O136" s="207" t="e">
        <f t="shared" si="167"/>
        <v>#DIV/0!</v>
      </c>
    </row>
    <row r="137" spans="1:15" x14ac:dyDescent="0.25">
      <c r="A137" s="205"/>
      <c r="B137" s="444"/>
      <c r="C137" s="43" t="s">
        <v>95</v>
      </c>
      <c r="D137" s="6">
        <f>D133</f>
        <v>0</v>
      </c>
      <c r="E137" s="7">
        <f>D137+E133</f>
        <v>0</v>
      </c>
      <c r="F137" s="7">
        <f>E137+F133</f>
        <v>0</v>
      </c>
      <c r="G137" s="7">
        <f t="shared" ref="G137:J138" si="168">F137+G133</f>
        <v>0</v>
      </c>
      <c r="H137" s="7">
        <f t="shared" si="168"/>
        <v>0</v>
      </c>
      <c r="I137" s="7">
        <f t="shared" si="168"/>
        <v>0</v>
      </c>
      <c r="J137" s="7">
        <f t="shared" si="168"/>
        <v>0</v>
      </c>
      <c r="K137" s="7">
        <f>J137+K133</f>
        <v>0</v>
      </c>
      <c r="L137" s="7">
        <f t="shared" ref="L137:O138" si="169">K137+L133</f>
        <v>0</v>
      </c>
      <c r="M137" s="7">
        <f t="shared" si="169"/>
        <v>0</v>
      </c>
      <c r="N137" s="7">
        <f t="shared" si="169"/>
        <v>0</v>
      </c>
      <c r="O137" s="208">
        <f t="shared" si="169"/>
        <v>0</v>
      </c>
    </row>
    <row r="138" spans="1:15" ht="15.75" thickBot="1" x14ac:dyDescent="0.3">
      <c r="A138" s="205"/>
      <c r="B138" s="445"/>
      <c r="C138" s="61" t="s">
        <v>70</v>
      </c>
      <c r="D138" s="39">
        <f>D134</f>
        <v>0</v>
      </c>
      <c r="E138" s="40">
        <f>D138+E134</f>
        <v>0</v>
      </c>
      <c r="F138" s="40">
        <f t="shared" ref="F138:I138" si="170">E138+F134</f>
        <v>0</v>
      </c>
      <c r="G138" s="40">
        <f t="shared" si="170"/>
        <v>0</v>
      </c>
      <c r="H138" s="40">
        <f t="shared" si="170"/>
        <v>0</v>
      </c>
      <c r="I138" s="82">
        <f t="shared" si="170"/>
        <v>0</v>
      </c>
      <c r="J138" s="82">
        <f t="shared" si="168"/>
        <v>0</v>
      </c>
      <c r="K138" s="82">
        <f>J138+K134</f>
        <v>0</v>
      </c>
      <c r="L138" s="82">
        <f t="shared" si="169"/>
        <v>0</v>
      </c>
      <c r="M138" s="82">
        <f t="shared" si="169"/>
        <v>0</v>
      </c>
      <c r="N138" s="82">
        <f t="shared" si="169"/>
        <v>0</v>
      </c>
      <c r="O138" s="216">
        <f t="shared" si="169"/>
        <v>0</v>
      </c>
    </row>
    <row r="139" spans="1:15" x14ac:dyDescent="0.25">
      <c r="A139" s="450" t="s">
        <v>22</v>
      </c>
      <c r="B139" s="425" t="s">
        <v>31</v>
      </c>
      <c r="C139" s="165" t="s">
        <v>92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</row>
    <row r="140" spans="1:15" ht="15.75" thickBot="1" x14ac:dyDescent="0.3">
      <c r="A140" s="451"/>
      <c r="B140" s="426"/>
      <c r="C140" s="168" t="s">
        <v>69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</row>
    <row r="141" spans="1:15" x14ac:dyDescent="0.25">
      <c r="A141" s="205"/>
      <c r="B141" s="426"/>
      <c r="C141" s="43" t="s">
        <v>93</v>
      </c>
      <c r="D141" s="47" t="e">
        <f>(D139/D140)-1</f>
        <v>#DIV/0!</v>
      </c>
      <c r="E141" s="13" t="e">
        <f t="shared" ref="E141:J141" si="171">(E139/E140)-1</f>
        <v>#DIV/0!</v>
      </c>
      <c r="F141" s="13" t="e">
        <f t="shared" si="171"/>
        <v>#DIV/0!</v>
      </c>
      <c r="G141" s="13" t="e">
        <f t="shared" si="171"/>
        <v>#DIV/0!</v>
      </c>
      <c r="H141" s="13" t="e">
        <f t="shared" si="171"/>
        <v>#DIV/0!</v>
      </c>
      <c r="I141" s="13" t="e">
        <f t="shared" si="171"/>
        <v>#DIV/0!</v>
      </c>
      <c r="J141" s="13" t="e">
        <f t="shared" si="171"/>
        <v>#DIV/0!</v>
      </c>
      <c r="K141" s="14" t="e">
        <f>(K139/K140)-1</f>
        <v>#DIV/0!</v>
      </c>
      <c r="L141" s="13" t="e">
        <f t="shared" ref="L141:O141" si="172">(L139/L140)-1</f>
        <v>#DIV/0!</v>
      </c>
      <c r="M141" s="13" t="e">
        <f t="shared" si="172"/>
        <v>#DIV/0!</v>
      </c>
      <c r="N141" s="13" t="e">
        <f t="shared" si="172"/>
        <v>#DIV/0!</v>
      </c>
      <c r="O141" s="206" t="e">
        <f t="shared" si="172"/>
        <v>#DIV/0!</v>
      </c>
    </row>
    <row r="142" spans="1:15" x14ac:dyDescent="0.25">
      <c r="A142" s="205"/>
      <c r="B142" s="426"/>
      <c r="C142" s="63" t="s">
        <v>94</v>
      </c>
      <c r="D142" s="65" t="e">
        <f>(D143/D144)-1</f>
        <v>#DIV/0!</v>
      </c>
      <c r="E142" s="15" t="e">
        <f t="shared" ref="E142:J142" si="173">(E143/E144)-1</f>
        <v>#DIV/0!</v>
      </c>
      <c r="F142" s="15" t="e">
        <f t="shared" si="173"/>
        <v>#DIV/0!</v>
      </c>
      <c r="G142" s="15" t="e">
        <f t="shared" si="173"/>
        <v>#DIV/0!</v>
      </c>
      <c r="H142" s="15" t="e">
        <f t="shared" si="173"/>
        <v>#DIV/0!</v>
      </c>
      <c r="I142" s="15" t="e">
        <f t="shared" si="173"/>
        <v>#DIV/0!</v>
      </c>
      <c r="J142" s="15" t="e">
        <f t="shared" si="173"/>
        <v>#DIV/0!</v>
      </c>
      <c r="K142" s="16" t="e">
        <f>(K143/K144)-1</f>
        <v>#DIV/0!</v>
      </c>
      <c r="L142" s="15" t="e">
        <f t="shared" ref="L142:O142" si="174">(L143/L144)-1</f>
        <v>#DIV/0!</v>
      </c>
      <c r="M142" s="15" t="e">
        <f t="shared" si="174"/>
        <v>#DIV/0!</v>
      </c>
      <c r="N142" s="15" t="e">
        <f t="shared" si="174"/>
        <v>#DIV/0!</v>
      </c>
      <c r="O142" s="210" t="e">
        <f t="shared" si="174"/>
        <v>#DIV/0!</v>
      </c>
    </row>
    <row r="143" spans="1:15" x14ac:dyDescent="0.25">
      <c r="A143" s="205"/>
      <c r="B143" s="426"/>
      <c r="C143" s="43" t="s">
        <v>95</v>
      </c>
      <c r="D143" s="6">
        <f>D139</f>
        <v>0</v>
      </c>
      <c r="E143" s="7">
        <f t="shared" ref="E143:J144" si="175">D143+E139</f>
        <v>0</v>
      </c>
      <c r="F143" s="7">
        <f t="shared" si="175"/>
        <v>0</v>
      </c>
      <c r="G143" s="7">
        <f t="shared" si="175"/>
        <v>0</v>
      </c>
      <c r="H143" s="7">
        <f t="shared" si="175"/>
        <v>0</v>
      </c>
      <c r="I143" s="7">
        <f t="shared" si="175"/>
        <v>0</v>
      </c>
      <c r="J143" s="7">
        <f t="shared" si="175"/>
        <v>0</v>
      </c>
      <c r="K143" s="7">
        <f t="shared" ref="K143:K144" si="176">J143+K139</f>
        <v>0</v>
      </c>
      <c r="L143" s="7">
        <f t="shared" ref="L143:L144" si="177">K143+L139</f>
        <v>0</v>
      </c>
      <c r="M143" s="7">
        <f t="shared" ref="M143:M144" si="178">L143+M139</f>
        <v>0</v>
      </c>
      <c r="N143" s="7">
        <f t="shared" ref="N143:N144" si="179">M143+N139</f>
        <v>0</v>
      </c>
      <c r="O143" s="208">
        <f t="shared" ref="O143:O144" si="180">N143+O139</f>
        <v>0</v>
      </c>
    </row>
    <row r="144" spans="1:15" ht="15.75" thickBot="1" x14ac:dyDescent="0.3">
      <c r="A144" s="205"/>
      <c r="B144" s="427"/>
      <c r="C144" s="66" t="s">
        <v>70</v>
      </c>
      <c r="D144" s="67">
        <f>D140</f>
        <v>0</v>
      </c>
      <c r="E144" s="68">
        <f t="shared" si="175"/>
        <v>0</v>
      </c>
      <c r="F144" s="68">
        <f t="shared" si="175"/>
        <v>0</v>
      </c>
      <c r="G144" s="68">
        <f t="shared" si="175"/>
        <v>0</v>
      </c>
      <c r="H144" s="68">
        <f t="shared" si="175"/>
        <v>0</v>
      </c>
      <c r="I144" s="68">
        <f t="shared" si="175"/>
        <v>0</v>
      </c>
      <c r="J144" s="68">
        <f t="shared" si="175"/>
        <v>0</v>
      </c>
      <c r="K144" s="68">
        <f t="shared" si="176"/>
        <v>0</v>
      </c>
      <c r="L144" s="68">
        <f t="shared" si="177"/>
        <v>0</v>
      </c>
      <c r="M144" s="68">
        <f t="shared" si="178"/>
        <v>0</v>
      </c>
      <c r="N144" s="68">
        <f t="shared" si="179"/>
        <v>0</v>
      </c>
      <c r="O144" s="211">
        <f t="shared" si="180"/>
        <v>0</v>
      </c>
    </row>
    <row r="145" spans="1:16" x14ac:dyDescent="0.25">
      <c r="A145" s="450" t="s">
        <v>22</v>
      </c>
      <c r="B145" s="428" t="s">
        <v>32</v>
      </c>
      <c r="C145" s="165" t="s">
        <v>92</v>
      </c>
      <c r="D145" s="152">
        <v>0</v>
      </c>
      <c r="E145" s="152">
        <v>0</v>
      </c>
      <c r="F145" s="152">
        <v>0</v>
      </c>
      <c r="G145" s="152">
        <v>0</v>
      </c>
      <c r="H145" s="152">
        <v>0</v>
      </c>
      <c r="I145" s="152">
        <v>0</v>
      </c>
      <c r="J145" s="152">
        <v>0</v>
      </c>
      <c r="K145" s="152">
        <v>0</v>
      </c>
      <c r="L145" s="152">
        <v>0</v>
      </c>
      <c r="M145" s="152">
        <v>0</v>
      </c>
      <c r="N145" s="152">
        <v>0</v>
      </c>
      <c r="O145" s="152">
        <v>0</v>
      </c>
    </row>
    <row r="146" spans="1:16" ht="15.75" thickBot="1" x14ac:dyDescent="0.3">
      <c r="A146" s="451"/>
      <c r="B146" s="429"/>
      <c r="C146" s="169" t="s">
        <v>69</v>
      </c>
      <c r="D146" s="154">
        <v>0</v>
      </c>
      <c r="E146" s="154">
        <v>0</v>
      </c>
      <c r="F146" s="154">
        <v>0</v>
      </c>
      <c r="G146" s="154">
        <v>0</v>
      </c>
      <c r="H146" s="154">
        <v>0</v>
      </c>
      <c r="I146" s="154">
        <v>0</v>
      </c>
      <c r="J146" s="154">
        <v>0</v>
      </c>
      <c r="K146" s="154">
        <v>0</v>
      </c>
      <c r="L146" s="154">
        <v>0</v>
      </c>
      <c r="M146" s="154">
        <v>0</v>
      </c>
      <c r="N146" s="154">
        <v>0</v>
      </c>
      <c r="O146" s="154">
        <v>0</v>
      </c>
    </row>
    <row r="147" spans="1:16" x14ac:dyDescent="0.25">
      <c r="A147" s="205"/>
      <c r="B147" s="429"/>
      <c r="C147" s="43" t="s">
        <v>93</v>
      </c>
      <c r="D147" s="47" t="e">
        <f>(D145/D146)-1</f>
        <v>#DIV/0!</v>
      </c>
      <c r="E147" s="13" t="e">
        <f t="shared" ref="E147:J147" si="181">(E145/E146)-1</f>
        <v>#DIV/0!</v>
      </c>
      <c r="F147" s="13" t="e">
        <f t="shared" si="181"/>
        <v>#DIV/0!</v>
      </c>
      <c r="G147" s="13" t="e">
        <f t="shared" si="181"/>
        <v>#DIV/0!</v>
      </c>
      <c r="H147" s="13" t="e">
        <f t="shared" si="181"/>
        <v>#DIV/0!</v>
      </c>
      <c r="I147" s="13" t="e">
        <f t="shared" si="181"/>
        <v>#DIV/0!</v>
      </c>
      <c r="J147" s="13" t="e">
        <f t="shared" si="181"/>
        <v>#DIV/0!</v>
      </c>
      <c r="K147" s="14" t="e">
        <f>(K145/K146)-1</f>
        <v>#DIV/0!</v>
      </c>
      <c r="L147" s="13" t="e">
        <f t="shared" ref="L147:O147" si="182">(L145/L146)-1</f>
        <v>#DIV/0!</v>
      </c>
      <c r="M147" s="13" t="e">
        <f t="shared" si="182"/>
        <v>#DIV/0!</v>
      </c>
      <c r="N147" s="13" t="e">
        <f t="shared" si="182"/>
        <v>#DIV/0!</v>
      </c>
      <c r="O147" s="206" t="e">
        <f t="shared" si="182"/>
        <v>#DIV/0!</v>
      </c>
    </row>
    <row r="148" spans="1:16" x14ac:dyDescent="0.25">
      <c r="A148" s="205"/>
      <c r="B148" s="429"/>
      <c r="C148" s="70" t="s">
        <v>94</v>
      </c>
      <c r="D148" s="71" t="e">
        <f>(D149/D150)-1</f>
        <v>#DIV/0!</v>
      </c>
      <c r="E148" s="25" t="e">
        <f t="shared" ref="E148:J148" si="183">(E149/E150)-1</f>
        <v>#DIV/0!</v>
      </c>
      <c r="F148" s="25" t="e">
        <f t="shared" si="183"/>
        <v>#DIV/0!</v>
      </c>
      <c r="G148" s="25" t="e">
        <f t="shared" si="183"/>
        <v>#DIV/0!</v>
      </c>
      <c r="H148" s="25" t="e">
        <f t="shared" si="183"/>
        <v>#DIV/0!</v>
      </c>
      <c r="I148" s="25" t="e">
        <f t="shared" si="183"/>
        <v>#DIV/0!</v>
      </c>
      <c r="J148" s="25" t="e">
        <f t="shared" si="183"/>
        <v>#DIV/0!</v>
      </c>
      <c r="K148" s="26" t="e">
        <f>(K149/K150)-1</f>
        <v>#DIV/0!</v>
      </c>
      <c r="L148" s="25" t="e">
        <f t="shared" ref="L148:O148" si="184">(L149/L150)-1</f>
        <v>#DIV/0!</v>
      </c>
      <c r="M148" s="25" t="e">
        <f t="shared" si="184"/>
        <v>#DIV/0!</v>
      </c>
      <c r="N148" s="25" t="e">
        <f t="shared" si="184"/>
        <v>#DIV/0!</v>
      </c>
      <c r="O148" s="213" t="e">
        <f t="shared" si="184"/>
        <v>#DIV/0!</v>
      </c>
    </row>
    <row r="149" spans="1:16" x14ac:dyDescent="0.25">
      <c r="A149" s="205"/>
      <c r="B149" s="429"/>
      <c r="C149" s="43" t="s">
        <v>95</v>
      </c>
      <c r="D149" s="6">
        <f>D145</f>
        <v>0</v>
      </c>
      <c r="E149" s="7">
        <f>D149+E145</f>
        <v>0</v>
      </c>
      <c r="F149" s="7">
        <f>E149+F145</f>
        <v>0</v>
      </c>
      <c r="G149" s="7">
        <f t="shared" ref="G149:J150" si="185">F149+G145</f>
        <v>0</v>
      </c>
      <c r="H149" s="7">
        <f t="shared" si="185"/>
        <v>0</v>
      </c>
      <c r="I149" s="7">
        <f t="shared" si="185"/>
        <v>0</v>
      </c>
      <c r="J149" s="7">
        <f t="shared" si="185"/>
        <v>0</v>
      </c>
      <c r="K149" s="7">
        <f t="shared" ref="K149:K150" si="186">J149+K145</f>
        <v>0</v>
      </c>
      <c r="L149" s="7">
        <f t="shared" ref="L149:L150" si="187">K149+L145</f>
        <v>0</v>
      </c>
      <c r="M149" s="7">
        <f t="shared" ref="M149:M150" si="188">L149+M145</f>
        <v>0</v>
      </c>
      <c r="N149" s="7">
        <f t="shared" ref="N149:N150" si="189">M149+N145</f>
        <v>0</v>
      </c>
      <c r="O149" s="208">
        <f t="shared" ref="O149:O150" si="190">N149+O145</f>
        <v>0</v>
      </c>
    </row>
    <row r="150" spans="1:16" ht="15.75" thickBot="1" x14ac:dyDescent="0.3">
      <c r="A150" s="205"/>
      <c r="B150" s="430"/>
      <c r="C150" s="72" t="s">
        <v>70</v>
      </c>
      <c r="D150" s="83">
        <f>D146</f>
        <v>0</v>
      </c>
      <c r="E150" s="73">
        <f>D150+E146</f>
        <v>0</v>
      </c>
      <c r="F150" s="73">
        <f t="shared" ref="F150:I150" si="191">E150+F146</f>
        <v>0</v>
      </c>
      <c r="G150" s="73">
        <f t="shared" si="191"/>
        <v>0</v>
      </c>
      <c r="H150" s="73">
        <f t="shared" si="191"/>
        <v>0</v>
      </c>
      <c r="I150" s="73">
        <f t="shared" si="191"/>
        <v>0</v>
      </c>
      <c r="J150" s="73">
        <f t="shared" si="185"/>
        <v>0</v>
      </c>
      <c r="K150" s="73">
        <f t="shared" si="186"/>
        <v>0</v>
      </c>
      <c r="L150" s="73">
        <f t="shared" si="187"/>
        <v>0</v>
      </c>
      <c r="M150" s="73">
        <f t="shared" si="188"/>
        <v>0</v>
      </c>
      <c r="N150" s="73">
        <f t="shared" si="189"/>
        <v>0</v>
      </c>
      <c r="O150" s="217">
        <f t="shared" si="190"/>
        <v>0</v>
      </c>
    </row>
    <row r="151" spans="1:16" ht="26.25" customHeight="1" x14ac:dyDescent="0.25">
      <c r="A151" s="205"/>
      <c r="B151" s="439" t="s">
        <v>33</v>
      </c>
      <c r="C151" s="84" t="s">
        <v>34</v>
      </c>
      <c r="D151" s="85">
        <f>D109/(D25+D13)</f>
        <v>0</v>
      </c>
      <c r="E151" s="85">
        <f t="shared" ref="E151:O151" si="192">E109/(E25+E13)</f>
        <v>0</v>
      </c>
      <c r="F151" s="85">
        <f t="shared" si="192"/>
        <v>0</v>
      </c>
      <c r="G151" s="85">
        <f t="shared" si="192"/>
        <v>0</v>
      </c>
      <c r="H151" s="85">
        <f t="shared" si="192"/>
        <v>0</v>
      </c>
      <c r="I151" s="85">
        <f t="shared" si="192"/>
        <v>0</v>
      </c>
      <c r="J151" s="85">
        <f t="shared" si="192"/>
        <v>0</v>
      </c>
      <c r="K151" s="85">
        <f t="shared" si="192"/>
        <v>0</v>
      </c>
      <c r="L151" s="85">
        <f t="shared" si="192"/>
        <v>0</v>
      </c>
      <c r="M151" s="85">
        <f t="shared" si="192"/>
        <v>0</v>
      </c>
      <c r="N151" s="85">
        <f t="shared" si="192"/>
        <v>0</v>
      </c>
      <c r="O151" s="85">
        <f t="shared" si="192"/>
        <v>0</v>
      </c>
    </row>
    <row r="152" spans="1:16" ht="26.25" customHeight="1" x14ac:dyDescent="0.25">
      <c r="A152" s="205"/>
      <c r="B152" s="440"/>
      <c r="C152" s="86" t="s">
        <v>35</v>
      </c>
      <c r="D152" s="87" t="e">
        <f>+D115/D109</f>
        <v>#DIV/0!</v>
      </c>
      <c r="E152" s="87" t="e">
        <f t="shared" ref="E152:O152" si="193">+E115/E109</f>
        <v>#DIV/0!</v>
      </c>
      <c r="F152" s="87" t="e">
        <f t="shared" si="193"/>
        <v>#DIV/0!</v>
      </c>
      <c r="G152" s="87" t="e">
        <f t="shared" si="193"/>
        <v>#DIV/0!</v>
      </c>
      <c r="H152" s="87" t="e">
        <f t="shared" si="193"/>
        <v>#DIV/0!</v>
      </c>
      <c r="I152" s="87" t="e">
        <f t="shared" si="193"/>
        <v>#DIV/0!</v>
      </c>
      <c r="J152" s="87" t="e">
        <f t="shared" si="193"/>
        <v>#DIV/0!</v>
      </c>
      <c r="K152" s="87" t="e">
        <f t="shared" si="193"/>
        <v>#DIV/0!</v>
      </c>
      <c r="L152" s="87" t="e">
        <f t="shared" si="193"/>
        <v>#DIV/0!</v>
      </c>
      <c r="M152" s="87" t="e">
        <f t="shared" si="193"/>
        <v>#DIV/0!</v>
      </c>
      <c r="N152" s="87" t="e">
        <f t="shared" si="193"/>
        <v>#DIV/0!</v>
      </c>
      <c r="O152" s="87" t="e">
        <f t="shared" si="193"/>
        <v>#DIV/0!</v>
      </c>
    </row>
    <row r="153" spans="1:16" ht="27" customHeight="1" thickBot="1" x14ac:dyDescent="0.3">
      <c r="A153" s="218"/>
      <c r="B153" s="453"/>
      <c r="C153" s="219" t="s">
        <v>320</v>
      </c>
      <c r="D153" s="220" t="e">
        <f>(D139+D145)/(D127+D133)</f>
        <v>#DIV/0!</v>
      </c>
      <c r="E153" s="220" t="e">
        <f t="shared" ref="E153:O153" si="194">(E139+E145)/(E127+E133)</f>
        <v>#DIV/0!</v>
      </c>
      <c r="F153" s="220" t="e">
        <f t="shared" si="194"/>
        <v>#DIV/0!</v>
      </c>
      <c r="G153" s="220" t="e">
        <f t="shared" si="194"/>
        <v>#DIV/0!</v>
      </c>
      <c r="H153" s="220" t="e">
        <f t="shared" si="194"/>
        <v>#DIV/0!</v>
      </c>
      <c r="I153" s="220" t="e">
        <f t="shared" si="194"/>
        <v>#DIV/0!</v>
      </c>
      <c r="J153" s="220" t="e">
        <f t="shared" si="194"/>
        <v>#DIV/0!</v>
      </c>
      <c r="K153" s="220" t="e">
        <f t="shared" si="194"/>
        <v>#DIV/0!</v>
      </c>
      <c r="L153" s="220" t="e">
        <f t="shared" si="194"/>
        <v>#DIV/0!</v>
      </c>
      <c r="M153" s="220" t="e">
        <f t="shared" si="194"/>
        <v>#DIV/0!</v>
      </c>
      <c r="N153" s="220" t="e">
        <f t="shared" si="194"/>
        <v>#DIV/0!</v>
      </c>
      <c r="O153" s="220" t="e">
        <f t="shared" si="194"/>
        <v>#DIV/0!</v>
      </c>
    </row>
    <row r="154" spans="1:16" ht="21" customHeight="1" thickTop="1" x14ac:dyDescent="0.25">
      <c r="A154" s="454" t="s">
        <v>22</v>
      </c>
      <c r="B154" s="455" t="s">
        <v>82</v>
      </c>
      <c r="C154" s="52" t="s">
        <v>288</v>
      </c>
      <c r="D154" s="6">
        <f>+PIGOO!B56</f>
        <v>108832.66</v>
      </c>
      <c r="E154" s="6">
        <f>+PIGOO!C56</f>
        <v>143016.37</v>
      </c>
      <c r="F154" s="6">
        <f>+PIGOO!D56</f>
        <v>117212.06</v>
      </c>
      <c r="G154" s="6">
        <f>+PIGOO!E56</f>
        <v>137452.45000000001</v>
      </c>
      <c r="H154" s="6">
        <f>+PIGOO!F56</f>
        <v>123783.79</v>
      </c>
      <c r="I154" s="6">
        <f>+PIGOO!G56</f>
        <v>193656.63</v>
      </c>
      <c r="J154" s="6">
        <f>+PIGOO!H56</f>
        <v>606517.53</v>
      </c>
      <c r="K154" s="6">
        <f>+PIGOO!I56</f>
        <v>153147.48000000001</v>
      </c>
      <c r="L154" s="6">
        <f>+PIGOO!J56</f>
        <v>126446.16</v>
      </c>
      <c r="M154" s="6">
        <f>+PIGOO!K56</f>
        <v>19663.79</v>
      </c>
      <c r="N154" s="6">
        <f>+PIGOO!L56</f>
        <v>149536.07</v>
      </c>
      <c r="O154" s="6">
        <f>+PIGOO!M56</f>
        <v>94853.49</v>
      </c>
      <c r="P154" s="359">
        <v>8</v>
      </c>
    </row>
    <row r="155" spans="1:16" ht="21" customHeight="1" thickBot="1" x14ac:dyDescent="0.3">
      <c r="A155" s="434"/>
      <c r="B155" s="455"/>
      <c r="C155" s="166" t="s">
        <v>289</v>
      </c>
      <c r="D155" s="28">
        <v>48937.97</v>
      </c>
      <c r="E155" s="29">
        <v>75340.759999999995</v>
      </c>
      <c r="F155" s="29">
        <v>65053.7</v>
      </c>
      <c r="G155" s="29">
        <v>70707.38</v>
      </c>
      <c r="H155" s="29">
        <v>76589.63</v>
      </c>
      <c r="I155" s="29">
        <v>101448.9</v>
      </c>
      <c r="J155" s="29">
        <v>100413.9</v>
      </c>
      <c r="K155" s="46">
        <v>105646.15</v>
      </c>
      <c r="L155" s="29">
        <v>73493.36</v>
      </c>
      <c r="M155" s="29">
        <v>29078.61</v>
      </c>
      <c r="N155" s="29">
        <v>27648</v>
      </c>
      <c r="O155" s="29">
        <v>117521.15</v>
      </c>
    </row>
    <row r="156" spans="1:16" ht="21" customHeight="1" x14ac:dyDescent="0.25">
      <c r="B156" s="455"/>
      <c r="C156" s="43" t="s">
        <v>96</v>
      </c>
      <c r="D156" s="88">
        <f>D154</f>
        <v>108832.66</v>
      </c>
      <c r="E156" s="89">
        <f>D156+E154</f>
        <v>251849.03</v>
      </c>
      <c r="F156" s="89">
        <f t="shared" ref="F156" si="195">E156+F154</f>
        <v>369061.08999999997</v>
      </c>
      <c r="G156" s="89">
        <f t="shared" ref="G156" si="196">F156+G154</f>
        <v>506513.54</v>
      </c>
      <c r="H156" s="89">
        <f t="shared" ref="H156" si="197">G156+H154</f>
        <v>630297.32999999996</v>
      </c>
      <c r="I156" s="89">
        <f t="shared" ref="I156" si="198">H156+I154</f>
        <v>823953.96</v>
      </c>
      <c r="J156" s="89">
        <f t="shared" ref="J156" si="199">I156+J154</f>
        <v>1430471.49</v>
      </c>
      <c r="K156" s="89">
        <f t="shared" ref="K156" si="200">J156+K154</f>
        <v>1583618.97</v>
      </c>
      <c r="L156" s="89">
        <f t="shared" ref="L156" si="201">K156+L154</f>
        <v>1710065.13</v>
      </c>
      <c r="M156" s="89">
        <f t="shared" ref="M156" si="202">L156+M154</f>
        <v>1729728.92</v>
      </c>
      <c r="N156" s="89">
        <f t="shared" ref="N156" si="203">M156+N154</f>
        <v>1879264.99</v>
      </c>
      <c r="O156" s="89">
        <f t="shared" ref="O156" si="204">N156+O154</f>
        <v>1974118.48</v>
      </c>
    </row>
    <row r="157" spans="1:16" ht="21" customHeight="1" x14ac:dyDescent="0.25">
      <c r="B157" s="455"/>
      <c r="C157" s="45" t="s">
        <v>97</v>
      </c>
      <c r="D157" s="90">
        <f t="shared" ref="D157:I158" si="205">D154/D7</f>
        <v>2.7977547557840619</v>
      </c>
      <c r="E157" s="90">
        <f t="shared" si="205"/>
        <v>2.8297099384658</v>
      </c>
      <c r="F157" s="90">
        <f t="shared" si="205"/>
        <v>1.247587146491256</v>
      </c>
      <c r="G157" s="90">
        <f t="shared" si="205"/>
        <v>1.4823027316157837</v>
      </c>
      <c r="H157" s="90">
        <f t="shared" si="205"/>
        <v>3.5886640767691995</v>
      </c>
      <c r="I157" s="91" t="e">
        <f t="shared" si="205"/>
        <v>#DIV/0!</v>
      </c>
      <c r="J157" s="92">
        <f>J156/J11</f>
        <v>4.1485909300511299</v>
      </c>
      <c r="K157" s="92">
        <f t="shared" ref="K157:O158" si="206">K154/K7</f>
        <v>1.3951796955424574</v>
      </c>
      <c r="L157" s="90" t="e">
        <f t="shared" si="206"/>
        <v>#DIV/0!</v>
      </c>
      <c r="M157" s="90">
        <f t="shared" si="206"/>
        <v>0.22477526805514278</v>
      </c>
      <c r="N157" s="90">
        <f t="shared" si="206"/>
        <v>5.6998692586239761</v>
      </c>
      <c r="O157" s="90">
        <f t="shared" si="206"/>
        <v>1.5844035946347739</v>
      </c>
    </row>
    <row r="158" spans="1:16" ht="21" customHeight="1" thickBot="1" x14ac:dyDescent="0.3">
      <c r="B158" s="455"/>
      <c r="C158" s="43" t="s">
        <v>72</v>
      </c>
      <c r="D158" s="191">
        <f t="shared" si="205"/>
        <v>1.2878413157894737</v>
      </c>
      <c r="E158" s="191">
        <f t="shared" si="205"/>
        <v>1.9826515789473682</v>
      </c>
      <c r="F158" s="191">
        <f t="shared" si="205"/>
        <v>1.7119394736842104</v>
      </c>
      <c r="G158" s="191">
        <f t="shared" si="205"/>
        <v>1.8607205263157895</v>
      </c>
      <c r="H158" s="191">
        <f t="shared" si="205"/>
        <v>2.0155165789473686</v>
      </c>
      <c r="I158" s="192">
        <f t="shared" si="205"/>
        <v>2.6697078947368418</v>
      </c>
      <c r="J158" s="193">
        <f>J155/J8</f>
        <v>2.6424710526315787</v>
      </c>
      <c r="K158" s="193">
        <f t="shared" si="206"/>
        <v>2.780161842105263</v>
      </c>
      <c r="L158" s="191">
        <f t="shared" si="206"/>
        <v>1.9340357894736842</v>
      </c>
      <c r="M158" s="191">
        <f t="shared" si="206"/>
        <v>0.76522657894736845</v>
      </c>
      <c r="N158" s="191">
        <f t="shared" si="206"/>
        <v>0.7275789473684211</v>
      </c>
      <c r="O158" s="191">
        <f t="shared" si="206"/>
        <v>3.092661842105263</v>
      </c>
    </row>
    <row r="159" spans="1:16" ht="21" customHeight="1" x14ac:dyDescent="0.25">
      <c r="A159" s="458" t="s">
        <v>83</v>
      </c>
      <c r="B159" s="456"/>
      <c r="C159" s="365" t="s">
        <v>81</v>
      </c>
      <c r="D159" s="28">
        <f>+PIGOO!B51</f>
        <v>60137</v>
      </c>
      <c r="E159" s="28">
        <f>+PIGOO!C51</f>
        <v>61886</v>
      </c>
      <c r="F159" s="28">
        <f>+PIGOO!D51</f>
        <v>52755</v>
      </c>
      <c r="G159" s="28">
        <f>+PIGOO!E51</f>
        <v>66482</v>
      </c>
      <c r="H159" s="28">
        <f>+PIGOO!F51</f>
        <v>80299</v>
      </c>
      <c r="I159" s="28">
        <f>+PIGOO!G51</f>
        <v>67939</v>
      </c>
      <c r="J159" s="28">
        <f>+PIGOO!H51</f>
        <v>58947</v>
      </c>
      <c r="K159" s="28">
        <f>+PIGOO!I51</f>
        <v>66555</v>
      </c>
      <c r="L159" s="28">
        <f>+PIGOO!J51</f>
        <v>7863</v>
      </c>
      <c r="M159" s="28">
        <f>+PIGOO!K51</f>
        <v>58789</v>
      </c>
      <c r="N159" s="28">
        <f>+PIGOO!L51</f>
        <v>31815</v>
      </c>
      <c r="O159" s="28">
        <f>+PIGOO!M51</f>
        <v>27891</v>
      </c>
      <c r="P159" s="359">
        <v>9</v>
      </c>
    </row>
    <row r="160" spans="1:16" ht="21" customHeight="1" x14ac:dyDescent="0.25">
      <c r="A160" s="459"/>
      <c r="B160" s="456"/>
      <c r="C160" s="247" t="s">
        <v>121</v>
      </c>
      <c r="D160" s="354">
        <f>+D159/D7</f>
        <v>1.5459383033419023</v>
      </c>
      <c r="E160" s="354">
        <f t="shared" ref="E160:O160" si="207">+E159/E7</f>
        <v>1.2244712213846185</v>
      </c>
      <c r="F160" s="354">
        <f t="shared" si="207"/>
        <v>0.56151610946131492</v>
      </c>
      <c r="G160" s="354">
        <f t="shared" si="207"/>
        <v>0.71694939015841863</v>
      </c>
      <c r="H160" s="354">
        <f t="shared" si="207"/>
        <v>2.3279795900617515</v>
      </c>
      <c r="I160" s="354" t="e">
        <f t="shared" si="207"/>
        <v>#DIV/0!</v>
      </c>
      <c r="J160" s="354">
        <f t="shared" si="207"/>
        <v>1.7238485158648926</v>
      </c>
      <c r="K160" s="354">
        <f t="shared" si="207"/>
        <v>0.60631872386557228</v>
      </c>
      <c r="L160" s="354" t="e">
        <f t="shared" si="207"/>
        <v>#DIV/0!</v>
      </c>
      <c r="M160" s="354">
        <f t="shared" si="207"/>
        <v>0.67201252829153424</v>
      </c>
      <c r="N160" s="354">
        <f t="shared" si="207"/>
        <v>1.2126929674099485</v>
      </c>
      <c r="O160" s="354">
        <f t="shared" si="207"/>
        <v>0.46588270666644394</v>
      </c>
    </row>
    <row r="161" spans="1:16" ht="21" customHeight="1" thickBot="1" x14ac:dyDescent="0.3">
      <c r="A161" s="460"/>
      <c r="B161" s="457"/>
      <c r="C161" s="194" t="s">
        <v>84</v>
      </c>
      <c r="D161" s="221">
        <f>D154/D159</f>
        <v>1.8097454146365799</v>
      </c>
      <c r="E161" s="221">
        <f t="shared" ref="E161:O161" si="208">E154/E159</f>
        <v>2.3109648385741526</v>
      </c>
      <c r="F161" s="221">
        <f t="shared" si="208"/>
        <v>2.221818974504786</v>
      </c>
      <c r="G161" s="221">
        <f t="shared" si="208"/>
        <v>2.0675137631238534</v>
      </c>
      <c r="H161" s="221">
        <f t="shared" si="208"/>
        <v>1.5415358846311908</v>
      </c>
      <c r="I161" s="221">
        <f t="shared" si="208"/>
        <v>2.8504486377485687</v>
      </c>
      <c r="J161" s="221">
        <f t="shared" si="208"/>
        <v>10.289200977148965</v>
      </c>
      <c r="K161" s="221">
        <f t="shared" si="208"/>
        <v>2.301066486364661</v>
      </c>
      <c r="L161" s="221">
        <f t="shared" si="208"/>
        <v>16.081159862647844</v>
      </c>
      <c r="M161" s="221">
        <f t="shared" si="208"/>
        <v>0.33448077021211453</v>
      </c>
      <c r="N161" s="221">
        <f t="shared" si="208"/>
        <v>4.7001750746503221</v>
      </c>
      <c r="O161" s="221">
        <f t="shared" si="208"/>
        <v>3.400863719479402</v>
      </c>
    </row>
    <row r="162" spans="1:16" ht="15" customHeight="1" x14ac:dyDescent="0.25">
      <c r="A162" s="448"/>
      <c r="B162" s="419" t="s">
        <v>36</v>
      </c>
      <c r="C162" s="366" t="s">
        <v>98</v>
      </c>
      <c r="D162" s="39">
        <f>+PIGOO!B106</f>
        <v>11</v>
      </c>
      <c r="E162" s="39">
        <f>+PIGOO!C106</f>
        <v>33</v>
      </c>
      <c r="F162" s="39">
        <f>+PIGOO!D106</f>
        <v>28</v>
      </c>
      <c r="G162" s="39">
        <f>+PIGOO!E106</f>
        <v>21</v>
      </c>
      <c r="H162" s="39">
        <f>+PIGOO!F106</f>
        <v>21</v>
      </c>
      <c r="I162" s="39">
        <f>+PIGOO!G106</f>
        <v>21</v>
      </c>
      <c r="J162" s="39">
        <f>+PIGOO!H106</f>
        <v>0</v>
      </c>
      <c r="K162" s="39">
        <f>+PIGOO!I106</f>
        <v>0</v>
      </c>
      <c r="L162" s="39">
        <f>+PIGOO!J106</f>
        <v>0</v>
      </c>
      <c r="M162" s="39">
        <f>+PIGOO!K106</f>
        <v>0</v>
      </c>
      <c r="N162" s="39">
        <f>+PIGOO!L106</f>
        <v>0</v>
      </c>
      <c r="O162" s="39">
        <f>+PIGOO!M106</f>
        <v>0</v>
      </c>
      <c r="P162" s="359">
        <v>10</v>
      </c>
    </row>
    <row r="163" spans="1:16" x14ac:dyDescent="0.25">
      <c r="A163" s="448"/>
      <c r="B163" s="420"/>
      <c r="C163" s="12" t="s">
        <v>99</v>
      </c>
      <c r="D163" s="6">
        <f>D162</f>
        <v>11</v>
      </c>
      <c r="E163" s="7">
        <f>D163+E162</f>
        <v>44</v>
      </c>
      <c r="F163" s="7">
        <f t="shared" ref="F163:J163" si="209">E163+F162</f>
        <v>72</v>
      </c>
      <c r="G163" s="7">
        <f t="shared" si="209"/>
        <v>93</v>
      </c>
      <c r="H163" s="7">
        <f t="shared" si="209"/>
        <v>114</v>
      </c>
      <c r="I163" s="7">
        <f t="shared" si="209"/>
        <v>135</v>
      </c>
      <c r="J163" s="7">
        <f t="shared" si="209"/>
        <v>135</v>
      </c>
      <c r="K163" s="7">
        <f>J163+K162</f>
        <v>135</v>
      </c>
      <c r="L163" s="7">
        <f t="shared" ref="L163:O163" si="210">K163+L162</f>
        <v>135</v>
      </c>
      <c r="M163" s="7">
        <f t="shared" si="210"/>
        <v>135</v>
      </c>
      <c r="N163" s="7">
        <f t="shared" si="210"/>
        <v>135</v>
      </c>
      <c r="O163" s="7">
        <f t="shared" si="210"/>
        <v>135</v>
      </c>
    </row>
    <row r="164" spans="1:16" ht="45" x14ac:dyDescent="0.25">
      <c r="A164" s="448"/>
      <c r="B164" s="420"/>
      <c r="C164" s="366" t="s">
        <v>100</v>
      </c>
      <c r="D164" s="39">
        <f>+PIGOO!B107</f>
        <v>6</v>
      </c>
      <c r="E164" s="39">
        <f>+PIGOO!C107</f>
        <v>22</v>
      </c>
      <c r="F164" s="39">
        <f>+PIGOO!D107</f>
        <v>23</v>
      </c>
      <c r="G164" s="39">
        <f>+PIGOO!E107</f>
        <v>13</v>
      </c>
      <c r="H164" s="39">
        <f>+PIGOO!F107</f>
        <v>13</v>
      </c>
      <c r="I164" s="39">
        <f>+PIGOO!G107</f>
        <v>13</v>
      </c>
      <c r="J164" s="39">
        <f>+PIGOO!H107</f>
        <v>0</v>
      </c>
      <c r="K164" s="39">
        <f>+PIGOO!I107</f>
        <v>0</v>
      </c>
      <c r="L164" s="39">
        <f>+PIGOO!J107</f>
        <v>0</v>
      </c>
      <c r="M164" s="39">
        <f>+PIGOO!K107</f>
        <v>0</v>
      </c>
      <c r="N164" s="39">
        <f>+PIGOO!L107</f>
        <v>0</v>
      </c>
      <c r="O164" s="39">
        <f>+PIGOO!M107</f>
        <v>0</v>
      </c>
      <c r="P164" s="359">
        <v>11</v>
      </c>
    </row>
    <row r="165" spans="1:16" ht="15.75" thickBot="1" x14ac:dyDescent="0.3">
      <c r="A165" s="448"/>
      <c r="B165" s="420"/>
      <c r="C165" s="12" t="s">
        <v>101</v>
      </c>
      <c r="D165" s="6">
        <f>D164</f>
        <v>6</v>
      </c>
      <c r="E165" s="7">
        <f>D165+E164</f>
        <v>28</v>
      </c>
      <c r="F165" s="7">
        <f t="shared" ref="F165:J165" si="211">E165+F164</f>
        <v>51</v>
      </c>
      <c r="G165" s="7">
        <f t="shared" si="211"/>
        <v>64</v>
      </c>
      <c r="H165" s="7">
        <f t="shared" si="211"/>
        <v>77</v>
      </c>
      <c r="I165" s="7">
        <f t="shared" si="211"/>
        <v>90</v>
      </c>
      <c r="J165" s="7">
        <f t="shared" si="211"/>
        <v>90</v>
      </c>
      <c r="K165" s="7">
        <f>J165+K164</f>
        <v>90</v>
      </c>
      <c r="L165" s="7">
        <f t="shared" ref="L165:O165" si="212">K165+L164</f>
        <v>90</v>
      </c>
      <c r="M165" s="7">
        <f t="shared" si="212"/>
        <v>90</v>
      </c>
      <c r="N165" s="7">
        <f t="shared" si="212"/>
        <v>90</v>
      </c>
      <c r="O165" s="7">
        <f t="shared" si="212"/>
        <v>90</v>
      </c>
    </row>
    <row r="166" spans="1:16" ht="21.75" thickBot="1" x14ac:dyDescent="0.3">
      <c r="A166" s="448"/>
      <c r="B166" s="420"/>
      <c r="C166" s="93" t="s">
        <v>37</v>
      </c>
      <c r="D166" s="94">
        <f t="shared" ref="D166:J166" si="213">D165/D163</f>
        <v>0.54545454545454541</v>
      </c>
      <c r="E166" s="95">
        <f t="shared" si="213"/>
        <v>0.63636363636363635</v>
      </c>
      <c r="F166" s="95">
        <f t="shared" si="213"/>
        <v>0.70833333333333337</v>
      </c>
      <c r="G166" s="95">
        <f t="shared" si="213"/>
        <v>0.68817204301075274</v>
      </c>
      <c r="H166" s="95">
        <f t="shared" si="213"/>
        <v>0.67543859649122806</v>
      </c>
      <c r="I166" s="95">
        <f t="shared" si="213"/>
        <v>0.66666666666666663</v>
      </c>
      <c r="J166" s="95">
        <f t="shared" si="213"/>
        <v>0.66666666666666663</v>
      </c>
      <c r="K166" s="95">
        <f>K165/K163</f>
        <v>0.66666666666666663</v>
      </c>
      <c r="L166" s="95">
        <f t="shared" ref="L166:O166" si="214">L165/L163</f>
        <v>0.66666666666666663</v>
      </c>
      <c r="M166" s="95">
        <f t="shared" si="214"/>
        <v>0.66666666666666663</v>
      </c>
      <c r="N166" s="95">
        <f t="shared" si="214"/>
        <v>0.66666666666666663</v>
      </c>
      <c r="O166" s="95">
        <f t="shared" si="214"/>
        <v>0.66666666666666663</v>
      </c>
    </row>
    <row r="167" spans="1:16" ht="30" x14ac:dyDescent="0.25">
      <c r="A167" s="448"/>
      <c r="B167" s="420"/>
      <c r="C167" s="352" t="s">
        <v>102</v>
      </c>
      <c r="D167" s="19">
        <f>+PIGOO!B108</f>
        <v>0</v>
      </c>
      <c r="E167" s="19">
        <f>+PIGOO!C108</f>
        <v>0</v>
      </c>
      <c r="F167" s="19">
        <f>+PIGOO!D108</f>
        <v>0</v>
      </c>
      <c r="G167" s="19">
        <f>+PIGOO!E108</f>
        <v>0</v>
      </c>
      <c r="H167" s="19">
        <f>+PIGOO!F108</f>
        <v>0</v>
      </c>
      <c r="I167" s="19">
        <f>+PIGOO!G108</f>
        <v>0</v>
      </c>
      <c r="J167" s="19">
        <f>+PIGOO!H108</f>
        <v>0</v>
      </c>
      <c r="K167" s="19">
        <f>+PIGOO!I108</f>
        <v>0</v>
      </c>
      <c r="L167" s="19">
        <f>+PIGOO!J108</f>
        <v>0</v>
      </c>
      <c r="M167" s="19">
        <f>+PIGOO!K108</f>
        <v>0</v>
      </c>
      <c r="N167" s="19">
        <f>+PIGOO!L108</f>
        <v>0</v>
      </c>
      <c r="O167" s="19">
        <f>+PIGOO!M108</f>
        <v>0</v>
      </c>
      <c r="P167" s="359">
        <v>12</v>
      </c>
    </row>
    <row r="168" spans="1:16" ht="30.75" thickBot="1" x14ac:dyDescent="0.3">
      <c r="A168" s="448"/>
      <c r="B168" s="420"/>
      <c r="C168" s="222" t="s">
        <v>103</v>
      </c>
      <c r="D168" s="82">
        <f>D167</f>
        <v>0</v>
      </c>
      <c r="E168" s="82">
        <f>D168+E167</f>
        <v>0</v>
      </c>
      <c r="F168" s="82">
        <f t="shared" ref="F168:M168" si="215">E168+F167</f>
        <v>0</v>
      </c>
      <c r="G168" s="82">
        <f t="shared" si="215"/>
        <v>0</v>
      </c>
      <c r="H168" s="82">
        <f t="shared" si="215"/>
        <v>0</v>
      </c>
      <c r="I168" s="82">
        <f t="shared" si="215"/>
        <v>0</v>
      </c>
      <c r="J168" s="82">
        <f t="shared" si="215"/>
        <v>0</v>
      </c>
      <c r="K168" s="82">
        <f t="shared" si="215"/>
        <v>0</v>
      </c>
      <c r="L168" s="82">
        <f t="shared" si="215"/>
        <v>0</v>
      </c>
      <c r="M168" s="82">
        <f t="shared" si="215"/>
        <v>0</v>
      </c>
      <c r="N168" s="82">
        <f t="shared" ref="N168" si="216">M168+N167</f>
        <v>0</v>
      </c>
      <c r="O168" s="82">
        <f t="shared" ref="O168" si="217">N168+O167</f>
        <v>0</v>
      </c>
    </row>
    <row r="169" spans="1:16" x14ac:dyDescent="0.25">
      <c r="A169" s="448"/>
      <c r="B169" s="420"/>
      <c r="C169" s="367" t="s">
        <v>38</v>
      </c>
      <c r="D169" s="22">
        <f>+PIGOO!B203</f>
        <v>1910</v>
      </c>
      <c r="E169" s="22">
        <f>+PIGOO!C203</f>
        <v>1910</v>
      </c>
      <c r="F169" s="22">
        <f>+PIGOO!D203</f>
        <v>1910</v>
      </c>
      <c r="G169" s="22">
        <f>+PIGOO!E203</f>
        <v>1910</v>
      </c>
      <c r="H169" s="22">
        <f>+PIGOO!F203</f>
        <v>1910</v>
      </c>
      <c r="I169" s="22">
        <f>+PIGOO!G203</f>
        <v>1910</v>
      </c>
      <c r="J169" s="22">
        <f>+PIGOO!H203</f>
        <v>1910</v>
      </c>
      <c r="K169" s="22">
        <f>+PIGOO!I203</f>
        <v>1915</v>
      </c>
      <c r="L169" s="22">
        <f>+PIGOO!J203</f>
        <v>1916</v>
      </c>
      <c r="M169" s="22">
        <f>+PIGOO!K203</f>
        <v>1920</v>
      </c>
      <c r="N169" s="22">
        <f>+PIGOO!L203</f>
        <v>1914</v>
      </c>
      <c r="O169" s="22">
        <f>+PIGOO!M203</f>
        <v>1930</v>
      </c>
      <c r="P169" s="359">
        <v>13</v>
      </c>
    </row>
    <row r="170" spans="1:16" x14ac:dyDescent="0.25">
      <c r="A170" s="448"/>
      <c r="B170" s="420"/>
      <c r="C170" s="1" t="s">
        <v>39</v>
      </c>
      <c r="D170" s="96">
        <f>+D169/D171</f>
        <v>0.96806893056259502</v>
      </c>
      <c r="E170" s="96">
        <f t="shared" ref="E170:J170" si="218">+E169/E171</f>
        <v>0.9665991902834008</v>
      </c>
      <c r="F170" s="96">
        <f t="shared" si="218"/>
        <v>0.96806893056259502</v>
      </c>
      <c r="G170" s="96">
        <f t="shared" si="218"/>
        <v>0.96708860759493676</v>
      </c>
      <c r="H170" s="96">
        <f t="shared" si="218"/>
        <v>0.96318709026727178</v>
      </c>
      <c r="I170" s="96">
        <f t="shared" si="218"/>
        <v>0.96270161290322576</v>
      </c>
      <c r="J170" s="96">
        <f t="shared" si="218"/>
        <v>0.95643465197796695</v>
      </c>
      <c r="K170" s="96">
        <f t="shared" ref="K170" si="219">+K169/K171</f>
        <v>0.95321055251368836</v>
      </c>
      <c r="L170" s="96">
        <f t="shared" ref="L170" si="220">+L169/L171</f>
        <v>0.94804552201880254</v>
      </c>
      <c r="M170" s="96">
        <f t="shared" ref="M170" si="221">+M169/M171</f>
        <v>0.95002474022761008</v>
      </c>
      <c r="N170" s="96">
        <f t="shared" ref="N170" si="222">+N169/N171</f>
        <v>0.94471865745310957</v>
      </c>
      <c r="O170" s="96">
        <f t="shared" ref="O170" si="223">+O169/O171</f>
        <v>0.95027080256031515</v>
      </c>
    </row>
    <row r="171" spans="1:16" s="98" customFormat="1" ht="21" x14ac:dyDescent="0.25">
      <c r="A171" s="448"/>
      <c r="B171" s="420"/>
      <c r="C171" s="368" t="s">
        <v>40</v>
      </c>
      <c r="D171" s="97">
        <f>+PIGOO!B111</f>
        <v>1973</v>
      </c>
      <c r="E171" s="97">
        <f>+PIGOO!C111</f>
        <v>1976</v>
      </c>
      <c r="F171" s="97">
        <f>+PIGOO!D111</f>
        <v>1973</v>
      </c>
      <c r="G171" s="97">
        <f>+PIGOO!E111</f>
        <v>1975</v>
      </c>
      <c r="H171" s="97">
        <f>+PIGOO!F111</f>
        <v>1983</v>
      </c>
      <c r="I171" s="97">
        <f>+PIGOO!G111</f>
        <v>1984</v>
      </c>
      <c r="J171" s="97">
        <f>+PIGOO!H111</f>
        <v>1997</v>
      </c>
      <c r="K171" s="97">
        <f>+PIGOO!I111</f>
        <v>2009</v>
      </c>
      <c r="L171" s="97">
        <f>+PIGOO!J111</f>
        <v>2021</v>
      </c>
      <c r="M171" s="97">
        <f>+PIGOO!K111</f>
        <v>2021</v>
      </c>
      <c r="N171" s="97">
        <f>+PIGOO!L111</f>
        <v>2026</v>
      </c>
      <c r="O171" s="97">
        <f>+PIGOO!M111</f>
        <v>2031</v>
      </c>
      <c r="P171" s="360">
        <v>14</v>
      </c>
    </row>
    <row r="172" spans="1:16" x14ac:dyDescent="0.25">
      <c r="A172" s="448"/>
      <c r="B172" s="420"/>
      <c r="C172" s="170" t="s">
        <v>41</v>
      </c>
      <c r="D172" s="6">
        <v>1778</v>
      </c>
      <c r="E172" s="6">
        <v>1781</v>
      </c>
      <c r="F172" s="6">
        <v>1784</v>
      </c>
      <c r="G172" s="6">
        <v>1791</v>
      </c>
      <c r="H172" s="7">
        <v>1793</v>
      </c>
      <c r="I172" s="7">
        <v>1801</v>
      </c>
      <c r="J172" s="7">
        <v>1806</v>
      </c>
      <c r="K172" s="7">
        <v>1811</v>
      </c>
      <c r="L172" s="7">
        <v>1818</v>
      </c>
      <c r="M172" s="7">
        <v>1820</v>
      </c>
      <c r="N172" s="7">
        <v>1825</v>
      </c>
      <c r="O172" s="7">
        <v>1827</v>
      </c>
    </row>
    <row r="173" spans="1:16" x14ac:dyDescent="0.25">
      <c r="A173" s="448"/>
      <c r="B173" s="420"/>
      <c r="C173" s="99" t="s">
        <v>42</v>
      </c>
      <c r="D173" s="71">
        <f>D172/D171</f>
        <v>0.90116573745565132</v>
      </c>
      <c r="E173" s="71">
        <f t="shared" ref="E173:J173" si="224">E172/E171</f>
        <v>0.90131578947368418</v>
      </c>
      <c r="F173" s="71">
        <f t="shared" si="224"/>
        <v>0.90420679168778506</v>
      </c>
      <c r="G173" s="71">
        <f t="shared" si="224"/>
        <v>0.9068354430379747</v>
      </c>
      <c r="H173" s="71">
        <f t="shared" si="224"/>
        <v>0.90418557740796768</v>
      </c>
      <c r="I173" s="71">
        <f t="shared" si="224"/>
        <v>0.90776209677419351</v>
      </c>
      <c r="J173" s="71">
        <f t="shared" si="224"/>
        <v>0.90435653480220335</v>
      </c>
      <c r="K173" s="71">
        <f>K172/K171</f>
        <v>0.90144350423096065</v>
      </c>
      <c r="L173" s="71">
        <f t="shared" ref="L173:O173" si="225">L172/L171</f>
        <v>0.8995546759030183</v>
      </c>
      <c r="M173" s="71">
        <f t="shared" si="225"/>
        <v>0.90054428500742212</v>
      </c>
      <c r="N173" s="71">
        <f t="shared" si="225"/>
        <v>0.90078973346495561</v>
      </c>
      <c r="O173" s="71">
        <f t="shared" si="225"/>
        <v>0.89955686853766614</v>
      </c>
    </row>
    <row r="174" spans="1:16" x14ac:dyDescent="0.25">
      <c r="A174" s="448"/>
      <c r="B174" s="420"/>
      <c r="C174" s="170" t="s">
        <v>43</v>
      </c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6" x14ac:dyDescent="0.25">
      <c r="A175" s="448"/>
      <c r="B175" s="420"/>
      <c r="C175" s="99" t="s">
        <v>44</v>
      </c>
      <c r="D175" s="71">
        <f>D174/D171</f>
        <v>0</v>
      </c>
      <c r="E175" s="71">
        <f t="shared" ref="E175:J175" si="226">E174/E171</f>
        <v>0</v>
      </c>
      <c r="F175" s="71">
        <f t="shared" si="226"/>
        <v>0</v>
      </c>
      <c r="G175" s="71">
        <f t="shared" si="226"/>
        <v>0</v>
      </c>
      <c r="H175" s="71">
        <f t="shared" si="226"/>
        <v>0</v>
      </c>
      <c r="I175" s="71">
        <f t="shared" si="226"/>
        <v>0</v>
      </c>
      <c r="J175" s="71">
        <f t="shared" si="226"/>
        <v>0</v>
      </c>
      <c r="K175" s="71">
        <f>K174/K171</f>
        <v>0</v>
      </c>
      <c r="L175" s="71">
        <f t="shared" ref="L175:O175" si="227">L174/L171</f>
        <v>0</v>
      </c>
      <c r="M175" s="71">
        <f t="shared" si="227"/>
        <v>0</v>
      </c>
      <c r="N175" s="71">
        <f t="shared" si="227"/>
        <v>0</v>
      </c>
      <c r="O175" s="71">
        <f t="shared" si="227"/>
        <v>0</v>
      </c>
    </row>
    <row r="176" spans="1:16" ht="30" x14ac:dyDescent="0.25">
      <c r="A176" s="448"/>
      <c r="B176" s="420"/>
      <c r="C176" s="171" t="s">
        <v>45</v>
      </c>
      <c r="D176" s="6">
        <v>7</v>
      </c>
      <c r="E176" s="7">
        <v>10</v>
      </c>
      <c r="F176" s="7">
        <v>10</v>
      </c>
      <c r="G176" s="7">
        <v>9</v>
      </c>
      <c r="H176" s="7">
        <v>10</v>
      </c>
      <c r="I176" s="7">
        <v>9</v>
      </c>
      <c r="J176" s="7">
        <v>9</v>
      </c>
      <c r="K176" s="7">
        <v>8</v>
      </c>
      <c r="L176" s="7">
        <v>8</v>
      </c>
      <c r="M176" s="7">
        <v>8</v>
      </c>
      <c r="N176" s="7">
        <v>7</v>
      </c>
      <c r="O176" s="7">
        <v>7</v>
      </c>
    </row>
    <row r="177" spans="1:16" ht="30" x14ac:dyDescent="0.25">
      <c r="A177" s="448"/>
      <c r="B177" s="420"/>
      <c r="C177" s="100" t="s">
        <v>46</v>
      </c>
      <c r="D177" s="71">
        <f>D176/D171</f>
        <v>3.5478966041561076E-3</v>
      </c>
      <c r="E177" s="71">
        <f t="shared" ref="E177:J177" si="228">E176/E171</f>
        <v>5.0607287449392713E-3</v>
      </c>
      <c r="F177" s="71">
        <f t="shared" si="228"/>
        <v>5.0684237202230104E-3</v>
      </c>
      <c r="G177" s="71">
        <f t="shared" si="228"/>
        <v>4.5569620253164559E-3</v>
      </c>
      <c r="H177" s="71">
        <f t="shared" si="228"/>
        <v>5.0428643469490669E-3</v>
      </c>
      <c r="I177" s="71">
        <f t="shared" si="228"/>
        <v>4.5362903225806455E-3</v>
      </c>
      <c r="J177" s="71">
        <f t="shared" si="228"/>
        <v>4.5067601402103159E-3</v>
      </c>
      <c r="K177" s="71">
        <f>K176/K171</f>
        <v>3.9820806371329018E-3</v>
      </c>
      <c r="L177" s="71">
        <f t="shared" ref="L177:O177" si="229">L176/L171</f>
        <v>3.9584364176150424E-3</v>
      </c>
      <c r="M177" s="71">
        <f t="shared" si="229"/>
        <v>3.9584364176150424E-3</v>
      </c>
      <c r="N177" s="71">
        <f t="shared" si="229"/>
        <v>3.4550839091806516E-3</v>
      </c>
      <c r="O177" s="71">
        <f t="shared" si="229"/>
        <v>3.4465780403741997E-3</v>
      </c>
    </row>
    <row r="178" spans="1:16" ht="30" x14ac:dyDescent="0.25">
      <c r="A178" s="448"/>
      <c r="B178" s="420"/>
      <c r="C178" s="171" t="s">
        <v>87</v>
      </c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6" ht="30.75" thickBot="1" x14ac:dyDescent="0.3">
      <c r="A179" s="448"/>
      <c r="B179" s="420"/>
      <c r="C179" s="101" t="s">
        <v>47</v>
      </c>
      <c r="D179" s="102">
        <f t="shared" ref="D179:O179" si="230">D178/D171</f>
        <v>0</v>
      </c>
      <c r="E179" s="102">
        <f t="shared" si="230"/>
        <v>0</v>
      </c>
      <c r="F179" s="102">
        <f t="shared" si="230"/>
        <v>0</v>
      </c>
      <c r="G179" s="102">
        <f t="shared" si="230"/>
        <v>0</v>
      </c>
      <c r="H179" s="102">
        <f t="shared" si="230"/>
        <v>0</v>
      </c>
      <c r="I179" s="102">
        <f t="shared" si="230"/>
        <v>0</v>
      </c>
      <c r="J179" s="102">
        <f t="shared" si="230"/>
        <v>0</v>
      </c>
      <c r="K179" s="102">
        <f t="shared" si="230"/>
        <v>0</v>
      </c>
      <c r="L179" s="102">
        <f t="shared" si="230"/>
        <v>0</v>
      </c>
      <c r="M179" s="102">
        <f t="shared" si="230"/>
        <v>0</v>
      </c>
      <c r="N179" s="102">
        <f t="shared" si="230"/>
        <v>0</v>
      </c>
      <c r="O179" s="102">
        <f t="shared" si="230"/>
        <v>0</v>
      </c>
    </row>
    <row r="180" spans="1:16" x14ac:dyDescent="0.25">
      <c r="A180" s="448"/>
      <c r="B180" s="420"/>
      <c r="C180" s="369" t="s">
        <v>290</v>
      </c>
      <c r="D180" s="355">
        <f>+PIGOO!B158</f>
        <v>1308</v>
      </c>
      <c r="E180" s="355">
        <f>+PIGOO!C158</f>
        <v>1319</v>
      </c>
      <c r="F180" s="355">
        <f>+PIGOO!D158</f>
        <v>1296</v>
      </c>
      <c r="G180" s="355">
        <f>+PIGOO!E158</f>
        <v>1228</v>
      </c>
      <c r="H180" s="355">
        <f>+PIGOO!F158</f>
        <v>1527</v>
      </c>
      <c r="I180" s="355">
        <f>+PIGOO!G158</f>
        <v>1257</v>
      </c>
      <c r="J180" s="355">
        <f>+PIGOO!H158</f>
        <v>1189</v>
      </c>
      <c r="K180" s="355">
        <f>+PIGOO!I158</f>
        <v>1321</v>
      </c>
      <c r="L180" s="355">
        <f>+PIGOO!J158</f>
        <v>1269</v>
      </c>
      <c r="M180" s="355">
        <f>+PIGOO!K158</f>
        <v>1257</v>
      </c>
      <c r="N180" s="355">
        <f>+PIGOO!L158</f>
        <v>1271</v>
      </c>
      <c r="O180" s="355">
        <f>+PIGOO!M158</f>
        <v>1343</v>
      </c>
      <c r="P180" s="359">
        <v>15</v>
      </c>
    </row>
    <row r="181" spans="1:16" x14ac:dyDescent="0.25">
      <c r="A181" s="448"/>
      <c r="B181" s="420"/>
      <c r="C181" s="172" t="s">
        <v>291</v>
      </c>
      <c r="D181" s="195">
        <v>0</v>
      </c>
      <c r="E181" s="196">
        <v>0</v>
      </c>
      <c r="F181" s="196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</row>
    <row r="182" spans="1:16" ht="15.75" thickBot="1" x14ac:dyDescent="0.3">
      <c r="A182" s="448"/>
      <c r="B182" s="420"/>
      <c r="C182" s="72" t="s">
        <v>104</v>
      </c>
      <c r="D182" s="102">
        <f>+D180/D171</f>
        <v>0.66294982260516977</v>
      </c>
      <c r="E182" s="102">
        <f t="shared" ref="E182:O182" si="231">+E180/E171</f>
        <v>0.66751012145748989</v>
      </c>
      <c r="F182" s="102">
        <f t="shared" si="231"/>
        <v>0.65686771414090217</v>
      </c>
      <c r="G182" s="102">
        <f t="shared" si="231"/>
        <v>0.62177215189873414</v>
      </c>
      <c r="H182" s="102">
        <f t="shared" si="231"/>
        <v>0.77004538577912252</v>
      </c>
      <c r="I182" s="102">
        <f t="shared" si="231"/>
        <v>0.63356854838709675</v>
      </c>
      <c r="J182" s="102">
        <f t="shared" si="231"/>
        <v>0.5953930896344517</v>
      </c>
      <c r="K182" s="102">
        <f t="shared" si="231"/>
        <v>0.65754106520657041</v>
      </c>
      <c r="L182" s="102">
        <f t="shared" si="231"/>
        <v>0.62790697674418605</v>
      </c>
      <c r="M182" s="102">
        <f t="shared" si="231"/>
        <v>0.62196932211776346</v>
      </c>
      <c r="N182" s="102">
        <f t="shared" si="231"/>
        <v>0.6273445212240869</v>
      </c>
      <c r="O182" s="102">
        <f t="shared" si="231"/>
        <v>0.66125061546036434</v>
      </c>
    </row>
    <row r="183" spans="1:16" x14ac:dyDescent="0.25">
      <c r="A183" s="448"/>
      <c r="B183" s="420"/>
      <c r="C183" s="370" t="s">
        <v>122</v>
      </c>
      <c r="D183" s="356">
        <f>+PIGOO!B159</f>
        <v>306</v>
      </c>
      <c r="E183" s="356">
        <f>+PIGOO!C159</f>
        <v>310</v>
      </c>
      <c r="F183" s="356">
        <f>+PIGOO!D159</f>
        <v>311</v>
      </c>
      <c r="G183" s="356">
        <f>+PIGOO!E159</f>
        <v>313</v>
      </c>
      <c r="H183" s="356">
        <f>+PIGOO!F159</f>
        <v>316</v>
      </c>
      <c r="I183" s="356">
        <f>+PIGOO!G159</f>
        <v>316</v>
      </c>
      <c r="J183" s="356">
        <f>+PIGOO!H159</f>
        <v>318</v>
      </c>
      <c r="K183" s="356">
        <f>+PIGOO!I159</f>
        <v>321</v>
      </c>
      <c r="L183" s="356">
        <f>+PIGOO!J159</f>
        <v>331</v>
      </c>
      <c r="M183" s="356">
        <f>+PIGOO!K159</f>
        <v>330</v>
      </c>
      <c r="N183" s="356">
        <f>+PIGOO!L159</f>
        <v>336</v>
      </c>
      <c r="O183" s="356">
        <f>+PIGOO!M159</f>
        <v>342</v>
      </c>
      <c r="P183" s="359">
        <v>16</v>
      </c>
    </row>
    <row r="184" spans="1:16" s="391" customFormat="1" ht="15.75" thickBot="1" x14ac:dyDescent="0.3">
      <c r="A184" s="448"/>
      <c r="B184" s="421"/>
      <c r="C184" s="406" t="s">
        <v>123</v>
      </c>
      <c r="D184" s="405">
        <v>10026.66</v>
      </c>
      <c r="E184" s="407">
        <v>13623.3</v>
      </c>
      <c r="F184" s="407">
        <v>14393.23</v>
      </c>
      <c r="G184" s="407">
        <v>15729.92</v>
      </c>
      <c r="H184" s="407">
        <v>16234.43</v>
      </c>
      <c r="I184" s="407">
        <v>15783.74</v>
      </c>
      <c r="J184" s="407">
        <v>7628</v>
      </c>
      <c r="K184" s="407">
        <v>16453.95</v>
      </c>
      <c r="L184" s="407">
        <v>16027.48</v>
      </c>
      <c r="M184" s="407">
        <v>15659.16</v>
      </c>
      <c r="N184" s="407">
        <v>16030.31</v>
      </c>
      <c r="O184" s="407">
        <v>15740.06</v>
      </c>
      <c r="P184" s="408"/>
    </row>
    <row r="185" spans="1:16" ht="30" x14ac:dyDescent="0.25">
      <c r="A185" s="448"/>
      <c r="B185" s="158"/>
      <c r="C185" s="173" t="s">
        <v>48</v>
      </c>
      <c r="D185" s="103">
        <v>0</v>
      </c>
      <c r="E185" s="104">
        <v>0</v>
      </c>
      <c r="F185" s="104">
        <v>0</v>
      </c>
      <c r="G185" s="104">
        <v>0</v>
      </c>
      <c r="H185" s="104">
        <v>0</v>
      </c>
      <c r="I185" s="104">
        <v>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361"/>
    </row>
    <row r="186" spans="1:16" ht="30" x14ac:dyDescent="0.25">
      <c r="A186" s="448"/>
      <c r="B186" s="158"/>
      <c r="C186" s="223" t="s">
        <v>105</v>
      </c>
      <c r="D186" s="105">
        <f>D185</f>
        <v>0</v>
      </c>
      <c r="E186" s="106">
        <f>D186+E185</f>
        <v>0</v>
      </c>
      <c r="F186" s="106">
        <f t="shared" ref="F186:O186" si="232">E186+F185</f>
        <v>0</v>
      </c>
      <c r="G186" s="106">
        <f t="shared" si="232"/>
        <v>0</v>
      </c>
      <c r="H186" s="106">
        <f t="shared" si="232"/>
        <v>0</v>
      </c>
      <c r="I186" s="106">
        <f t="shared" si="232"/>
        <v>0</v>
      </c>
      <c r="J186" s="106">
        <f t="shared" si="232"/>
        <v>0</v>
      </c>
      <c r="K186" s="106">
        <f>J186+K185</f>
        <v>0</v>
      </c>
      <c r="L186" s="106">
        <f t="shared" si="232"/>
        <v>0</v>
      </c>
      <c r="M186" s="106">
        <f t="shared" si="232"/>
        <v>0</v>
      </c>
      <c r="N186" s="106">
        <f t="shared" si="232"/>
        <v>0</v>
      </c>
      <c r="O186" s="106">
        <f t="shared" si="232"/>
        <v>0</v>
      </c>
      <c r="P186" s="361"/>
    </row>
    <row r="187" spans="1:16" ht="15.75" thickBot="1" x14ac:dyDescent="0.3">
      <c r="A187" s="448"/>
      <c r="B187" s="158"/>
      <c r="C187" s="174" t="s">
        <v>49</v>
      </c>
      <c r="D187" s="107">
        <v>14829.56</v>
      </c>
      <c r="E187" s="108">
        <v>19024.91</v>
      </c>
      <c r="F187" s="108">
        <v>27801.71</v>
      </c>
      <c r="G187" s="108">
        <v>15166.89</v>
      </c>
      <c r="H187" s="108">
        <v>19124.14</v>
      </c>
      <c r="I187" s="108">
        <v>19192.580000000002</v>
      </c>
      <c r="J187" s="108">
        <v>34719.99</v>
      </c>
      <c r="K187" s="108">
        <v>31294.959999999999</v>
      </c>
      <c r="L187" s="108">
        <v>20612.599999999999</v>
      </c>
      <c r="M187" s="108">
        <v>25424.78</v>
      </c>
      <c r="N187" s="108">
        <v>65171.74</v>
      </c>
      <c r="O187" s="108">
        <v>20662.72</v>
      </c>
    </row>
    <row r="188" spans="1:16" ht="30" x14ac:dyDescent="0.25">
      <c r="A188" s="448"/>
      <c r="B188" s="158"/>
      <c r="C188" s="175" t="s">
        <v>292</v>
      </c>
      <c r="D188" s="109">
        <v>7</v>
      </c>
      <c r="E188" s="110">
        <v>5</v>
      </c>
      <c r="F188" s="110"/>
      <c r="G188" s="110"/>
      <c r="H188" s="110"/>
      <c r="I188" s="40"/>
      <c r="J188" s="40"/>
      <c r="K188" s="40"/>
      <c r="L188" s="40"/>
      <c r="M188" s="40"/>
      <c r="N188" s="40"/>
      <c r="O188" s="40"/>
    </row>
    <row r="189" spans="1:16" ht="30.75" thickBot="1" x14ac:dyDescent="0.3">
      <c r="A189" s="448"/>
      <c r="B189" s="158"/>
      <c r="C189" s="111" t="s">
        <v>293</v>
      </c>
      <c r="D189" s="88">
        <f>+D188</f>
        <v>7</v>
      </c>
      <c r="E189" s="89">
        <f>+D189+E188</f>
        <v>12</v>
      </c>
      <c r="F189" s="89">
        <f t="shared" ref="F189:O189" si="233">+E189+F188</f>
        <v>12</v>
      </c>
      <c r="G189" s="89">
        <f t="shared" si="233"/>
        <v>12</v>
      </c>
      <c r="H189" s="89">
        <f t="shared" si="233"/>
        <v>12</v>
      </c>
      <c r="I189" s="89">
        <f t="shared" si="233"/>
        <v>12</v>
      </c>
      <c r="J189" s="89">
        <f t="shared" si="233"/>
        <v>12</v>
      </c>
      <c r="K189" s="89">
        <f t="shared" si="233"/>
        <v>12</v>
      </c>
      <c r="L189" s="89">
        <f t="shared" si="233"/>
        <v>12</v>
      </c>
      <c r="M189" s="89">
        <f t="shared" si="233"/>
        <v>12</v>
      </c>
      <c r="N189" s="89">
        <f t="shared" si="233"/>
        <v>12</v>
      </c>
      <c r="O189" s="89">
        <f t="shared" si="233"/>
        <v>12</v>
      </c>
    </row>
    <row r="190" spans="1:16" ht="15.75" thickBot="1" x14ac:dyDescent="0.3">
      <c r="A190" s="449"/>
      <c r="B190" s="159"/>
      <c r="C190" s="404" t="s">
        <v>50</v>
      </c>
      <c r="D190" s="112">
        <f>+PIGOO!B156</f>
        <v>0</v>
      </c>
      <c r="E190" s="112">
        <f>+PIGOO!C156</f>
        <v>0</v>
      </c>
      <c r="F190" s="112">
        <f>+PIGOO!D156</f>
        <v>0</v>
      </c>
      <c r="G190" s="112">
        <f>+PIGOO!E156</f>
        <v>0</v>
      </c>
      <c r="H190" s="112">
        <f>+PIGOO!F156</f>
        <v>0</v>
      </c>
      <c r="I190" s="112">
        <f>+PIGOO!G156</f>
        <v>0</v>
      </c>
      <c r="J190" s="112">
        <f>+PIGOO!H156</f>
        <v>0</v>
      </c>
      <c r="K190" s="112">
        <f>+PIGOO!I156</f>
        <v>0</v>
      </c>
      <c r="L190" s="112">
        <f>+PIGOO!J156</f>
        <v>0</v>
      </c>
      <c r="M190" s="112">
        <f>+PIGOO!K156</f>
        <v>0</v>
      </c>
      <c r="N190" s="112">
        <f>+PIGOO!L156</f>
        <v>0</v>
      </c>
      <c r="O190" s="112">
        <f>+PIGOO!M156</f>
        <v>0</v>
      </c>
    </row>
    <row r="191" spans="1:16" x14ac:dyDescent="0.25">
      <c r="A191" s="461" t="s">
        <v>51</v>
      </c>
      <c r="B191" s="417" t="s">
        <v>52</v>
      </c>
      <c r="C191" s="371" t="s">
        <v>106</v>
      </c>
      <c r="D191" s="113">
        <f>+PIGOO!B188+PIGOO!B190+PIGOO!B192</f>
        <v>0</v>
      </c>
      <c r="E191" s="113">
        <f>+PIGOO!C188+PIGOO!C190+PIGOO!C192</f>
        <v>0</v>
      </c>
      <c r="F191" s="113">
        <f>+PIGOO!D188+PIGOO!D190+PIGOO!D192</f>
        <v>0</v>
      </c>
      <c r="G191" s="113">
        <f>+PIGOO!E188+PIGOO!E190+PIGOO!E192</f>
        <v>0</v>
      </c>
      <c r="H191" s="113">
        <f>+PIGOO!F188+PIGOO!F190+PIGOO!F192</f>
        <v>0</v>
      </c>
      <c r="I191" s="113">
        <f>+PIGOO!G188+PIGOO!G190+PIGOO!G192</f>
        <v>0</v>
      </c>
      <c r="J191" s="113">
        <f>+PIGOO!H188+PIGOO!H190+PIGOO!H192</f>
        <v>0</v>
      </c>
      <c r="K191" s="113">
        <f>+PIGOO!I188+PIGOO!I190+PIGOO!I192</f>
        <v>0</v>
      </c>
      <c r="L191" s="113">
        <f>+PIGOO!J188+PIGOO!J190+PIGOO!J192</f>
        <v>0</v>
      </c>
      <c r="M191" s="113">
        <f>+PIGOO!K188+PIGOO!K190+PIGOO!K192</f>
        <v>0</v>
      </c>
      <c r="N191" s="113">
        <f>+PIGOO!L188+PIGOO!L190+PIGOO!L192</f>
        <v>0</v>
      </c>
      <c r="O191" s="113">
        <f>+PIGOO!M188+PIGOO!M190+PIGOO!M192</f>
        <v>0</v>
      </c>
      <c r="P191" s="359">
        <v>17</v>
      </c>
    </row>
    <row r="192" spans="1:16" x14ac:dyDescent="0.25">
      <c r="A192" s="461"/>
      <c r="B192" s="418"/>
      <c r="C192" s="374" t="s">
        <v>107</v>
      </c>
      <c r="D192" s="114">
        <v>0</v>
      </c>
      <c r="E192" s="114">
        <v>0</v>
      </c>
      <c r="F192" s="114">
        <v>0</v>
      </c>
      <c r="G192" s="114">
        <v>0</v>
      </c>
      <c r="H192" s="114">
        <v>0</v>
      </c>
      <c r="I192" s="114">
        <v>0</v>
      </c>
      <c r="J192" s="114">
        <v>0</v>
      </c>
      <c r="K192" s="114">
        <v>0</v>
      </c>
      <c r="L192" s="114">
        <v>0</v>
      </c>
      <c r="M192" s="114">
        <v>0</v>
      </c>
      <c r="N192" s="114">
        <v>0</v>
      </c>
      <c r="O192" s="6">
        <v>0</v>
      </c>
    </row>
    <row r="193" spans="1:16" ht="18.75" x14ac:dyDescent="0.25">
      <c r="A193" s="461"/>
      <c r="B193" s="418"/>
      <c r="C193" s="115" t="s">
        <v>53</v>
      </c>
      <c r="D193" s="116">
        <f>D192-D191</f>
        <v>0</v>
      </c>
      <c r="E193" s="116">
        <f t="shared" ref="E193:J193" si="234">E192-E191</f>
        <v>0</v>
      </c>
      <c r="F193" s="116">
        <f t="shared" si="234"/>
        <v>0</v>
      </c>
      <c r="G193" s="116">
        <f t="shared" si="234"/>
        <v>0</v>
      </c>
      <c r="H193" s="116">
        <f t="shared" si="234"/>
        <v>0</v>
      </c>
      <c r="I193" s="116">
        <f t="shared" si="234"/>
        <v>0</v>
      </c>
      <c r="J193" s="116">
        <f t="shared" si="234"/>
        <v>0</v>
      </c>
      <c r="K193" s="116">
        <f>K192-K191</f>
        <v>0</v>
      </c>
      <c r="L193" s="116">
        <f t="shared" ref="L193:O193" si="235">L192-L191</f>
        <v>0</v>
      </c>
      <c r="M193" s="116">
        <f t="shared" si="235"/>
        <v>0</v>
      </c>
      <c r="N193" s="116">
        <f t="shared" si="235"/>
        <v>0</v>
      </c>
      <c r="O193" s="28">
        <f t="shared" si="235"/>
        <v>0</v>
      </c>
    </row>
    <row r="194" spans="1:16" ht="19.5" thickBot="1" x14ac:dyDescent="0.3">
      <c r="A194" s="461"/>
      <c r="B194" s="435"/>
      <c r="C194" s="117" t="s">
        <v>54</v>
      </c>
      <c r="D194" s="118" t="e">
        <f>D193/D192</f>
        <v>#DIV/0!</v>
      </c>
      <c r="E194" s="118" t="e">
        <f t="shared" ref="E194:O194" si="236">E193/E192</f>
        <v>#DIV/0!</v>
      </c>
      <c r="F194" s="118" t="e">
        <f t="shared" si="236"/>
        <v>#DIV/0!</v>
      </c>
      <c r="G194" s="118" t="e">
        <f t="shared" si="236"/>
        <v>#DIV/0!</v>
      </c>
      <c r="H194" s="118" t="e">
        <f t="shared" si="236"/>
        <v>#DIV/0!</v>
      </c>
      <c r="I194" s="118" t="e">
        <f t="shared" si="236"/>
        <v>#DIV/0!</v>
      </c>
      <c r="J194" s="118" t="e">
        <f t="shared" si="236"/>
        <v>#DIV/0!</v>
      </c>
      <c r="K194" s="118" t="e">
        <f>K193/K192</f>
        <v>#DIV/0!</v>
      </c>
      <c r="L194" s="118" t="e">
        <f t="shared" si="236"/>
        <v>#DIV/0!</v>
      </c>
      <c r="M194" s="118" t="e">
        <f t="shared" si="236"/>
        <v>#DIV/0!</v>
      </c>
      <c r="N194" s="118" t="e">
        <f t="shared" si="236"/>
        <v>#DIV/0!</v>
      </c>
      <c r="O194" s="119" t="e">
        <f t="shared" si="236"/>
        <v>#DIV/0!</v>
      </c>
    </row>
    <row r="195" spans="1:16" s="121" customFormat="1" x14ac:dyDescent="0.25">
      <c r="A195" s="461"/>
      <c r="B195" s="417" t="s">
        <v>55</v>
      </c>
      <c r="C195" s="372" t="s">
        <v>56</v>
      </c>
      <c r="D195" s="120">
        <f>+PIGOO!B187+PIGOO!B189+PIGOO!B191</f>
        <v>6</v>
      </c>
      <c r="E195" s="120">
        <v>6</v>
      </c>
      <c r="F195" s="120">
        <v>6</v>
      </c>
      <c r="G195" s="120">
        <v>6</v>
      </c>
      <c r="H195" s="120">
        <v>6</v>
      </c>
      <c r="I195" s="120">
        <v>6</v>
      </c>
      <c r="J195" s="120">
        <v>6</v>
      </c>
      <c r="K195" s="120">
        <v>6</v>
      </c>
      <c r="L195" s="120">
        <v>6</v>
      </c>
      <c r="M195" s="120">
        <v>6</v>
      </c>
      <c r="N195" s="120">
        <v>6</v>
      </c>
      <c r="O195" s="120">
        <v>6</v>
      </c>
      <c r="P195" s="362">
        <v>18</v>
      </c>
    </row>
    <row r="196" spans="1:16" x14ac:dyDescent="0.25">
      <c r="A196" s="461"/>
      <c r="B196" s="418"/>
      <c r="C196" s="374" t="s">
        <v>107</v>
      </c>
      <c r="D196" s="6">
        <v>6</v>
      </c>
      <c r="E196" s="6">
        <v>6</v>
      </c>
      <c r="F196" s="6">
        <v>6</v>
      </c>
      <c r="G196" s="6">
        <v>6</v>
      </c>
      <c r="H196" s="6">
        <v>6</v>
      </c>
      <c r="I196" s="6">
        <v>6</v>
      </c>
      <c r="J196" s="6">
        <v>6</v>
      </c>
      <c r="K196" s="6">
        <v>6</v>
      </c>
      <c r="L196" s="6">
        <v>6</v>
      </c>
      <c r="M196" s="6">
        <v>6</v>
      </c>
      <c r="N196" s="6">
        <v>6</v>
      </c>
      <c r="O196" s="6">
        <v>6</v>
      </c>
    </row>
    <row r="197" spans="1:16" ht="18.75" x14ac:dyDescent="0.25">
      <c r="A197" s="461"/>
      <c r="B197" s="418"/>
      <c r="C197" s="115" t="s">
        <v>53</v>
      </c>
      <c r="D197" s="28">
        <f>D196-D195</f>
        <v>0</v>
      </c>
      <c r="E197" s="28">
        <f t="shared" ref="E197:O197" si="237">E196-E195</f>
        <v>0</v>
      </c>
      <c r="F197" s="28">
        <f t="shared" si="237"/>
        <v>0</v>
      </c>
      <c r="G197" s="28">
        <f t="shared" si="237"/>
        <v>0</v>
      </c>
      <c r="H197" s="28">
        <f t="shared" si="237"/>
        <v>0</v>
      </c>
      <c r="I197" s="28">
        <f t="shared" si="237"/>
        <v>0</v>
      </c>
      <c r="J197" s="28">
        <f t="shared" si="237"/>
        <v>0</v>
      </c>
      <c r="K197" s="28">
        <f t="shared" si="237"/>
        <v>0</v>
      </c>
      <c r="L197" s="28">
        <f t="shared" si="237"/>
        <v>0</v>
      </c>
      <c r="M197" s="28">
        <f t="shared" si="237"/>
        <v>0</v>
      </c>
      <c r="N197" s="28">
        <f t="shared" si="237"/>
        <v>0</v>
      </c>
      <c r="O197" s="28">
        <f t="shared" si="237"/>
        <v>0</v>
      </c>
    </row>
    <row r="198" spans="1:16" ht="19.5" thickBot="1" x14ac:dyDescent="0.3">
      <c r="A198" s="461"/>
      <c r="B198" s="435"/>
      <c r="C198" s="117" t="s">
        <v>54</v>
      </c>
      <c r="D198" s="122">
        <f>D197/D196</f>
        <v>0</v>
      </c>
      <c r="E198" s="122">
        <f t="shared" ref="E198:O198" si="238">E197/E196</f>
        <v>0</v>
      </c>
      <c r="F198" s="122">
        <f t="shared" si="238"/>
        <v>0</v>
      </c>
      <c r="G198" s="122">
        <f t="shared" si="238"/>
        <v>0</v>
      </c>
      <c r="H198" s="122">
        <f t="shared" si="238"/>
        <v>0</v>
      </c>
      <c r="I198" s="122">
        <f t="shared" si="238"/>
        <v>0</v>
      </c>
      <c r="J198" s="122">
        <f t="shared" si="238"/>
        <v>0</v>
      </c>
      <c r="K198" s="122">
        <f>K197/K196</f>
        <v>0</v>
      </c>
      <c r="L198" s="122">
        <f t="shared" si="238"/>
        <v>0</v>
      </c>
      <c r="M198" s="122">
        <f t="shared" si="238"/>
        <v>0</v>
      </c>
      <c r="N198" s="122">
        <f t="shared" si="238"/>
        <v>0</v>
      </c>
      <c r="O198" s="119">
        <f t="shared" si="238"/>
        <v>0</v>
      </c>
    </row>
    <row r="199" spans="1:16" s="121" customFormat="1" x14ac:dyDescent="0.25">
      <c r="A199" s="461"/>
      <c r="B199" s="417" t="s">
        <v>57</v>
      </c>
      <c r="C199" s="372" t="s">
        <v>56</v>
      </c>
      <c r="D199" s="123">
        <f>+PIGOO!B194</f>
        <v>0</v>
      </c>
      <c r="E199" s="123">
        <f>+PIGOO!C194</f>
        <v>0</v>
      </c>
      <c r="F199" s="123">
        <f>+PIGOO!D194</f>
        <v>0</v>
      </c>
      <c r="G199" s="123">
        <f>+PIGOO!E194</f>
        <v>0</v>
      </c>
      <c r="H199" s="123">
        <f>+PIGOO!F194</f>
        <v>0</v>
      </c>
      <c r="I199" s="123">
        <f>+PIGOO!G194</f>
        <v>0</v>
      </c>
      <c r="J199" s="123">
        <f>+PIGOO!H194</f>
        <v>0</v>
      </c>
      <c r="K199" s="123">
        <f>+PIGOO!I194</f>
        <v>0</v>
      </c>
      <c r="L199" s="123">
        <f>+PIGOO!J194</f>
        <v>0</v>
      </c>
      <c r="M199" s="123">
        <f>+PIGOO!K194</f>
        <v>0</v>
      </c>
      <c r="N199" s="123">
        <f>+PIGOO!L194</f>
        <v>0</v>
      </c>
      <c r="O199" s="123">
        <f>+PIGOO!M194</f>
        <v>0</v>
      </c>
      <c r="P199" s="362">
        <v>19</v>
      </c>
    </row>
    <row r="200" spans="1:16" x14ac:dyDescent="0.25">
      <c r="A200" s="461"/>
      <c r="B200" s="418"/>
      <c r="C200" s="374" t="s">
        <v>107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124">
        <v>0</v>
      </c>
      <c r="L200" s="6">
        <v>0</v>
      </c>
      <c r="M200" s="6">
        <v>0</v>
      </c>
      <c r="N200" s="6"/>
      <c r="O200" s="6">
        <v>0</v>
      </c>
    </row>
    <row r="201" spans="1:16" ht="18.75" x14ac:dyDescent="0.25">
      <c r="A201" s="461"/>
      <c r="B201" s="418"/>
      <c r="C201" s="115" t="s">
        <v>53</v>
      </c>
      <c r="D201" s="28">
        <f>D200-D199</f>
        <v>0</v>
      </c>
      <c r="E201" s="28">
        <f t="shared" ref="E201:J201" si="239">E200-E199</f>
        <v>0</v>
      </c>
      <c r="F201" s="28">
        <f t="shared" si="239"/>
        <v>0</v>
      </c>
      <c r="G201" s="28">
        <f t="shared" si="239"/>
        <v>0</v>
      </c>
      <c r="H201" s="28">
        <f t="shared" si="239"/>
        <v>0</v>
      </c>
      <c r="I201" s="28">
        <f t="shared" si="239"/>
        <v>0</v>
      </c>
      <c r="J201" s="125">
        <f t="shared" si="239"/>
        <v>0</v>
      </c>
      <c r="K201" s="126">
        <f>K200-K199</f>
        <v>0</v>
      </c>
      <c r="L201" s="125">
        <f t="shared" ref="L201:O201" si="240">L200-L199</f>
        <v>0</v>
      </c>
      <c r="M201" s="125">
        <f t="shared" si="240"/>
        <v>0</v>
      </c>
      <c r="N201" s="125">
        <f t="shared" si="240"/>
        <v>0</v>
      </c>
      <c r="O201" s="125">
        <f t="shared" si="240"/>
        <v>0</v>
      </c>
    </row>
    <row r="202" spans="1:16" ht="19.5" thickBot="1" x14ac:dyDescent="0.3">
      <c r="A202" s="461"/>
      <c r="B202" s="418"/>
      <c r="C202" s="117" t="s">
        <v>54</v>
      </c>
      <c r="D202" s="118" t="e">
        <f>D201/D200</f>
        <v>#DIV/0!</v>
      </c>
      <c r="E202" s="118" t="e">
        <f t="shared" ref="E202:O202" si="241">E201/E200</f>
        <v>#DIV/0!</v>
      </c>
      <c r="F202" s="118" t="e">
        <f t="shared" si="241"/>
        <v>#DIV/0!</v>
      </c>
      <c r="G202" s="118" t="e">
        <f t="shared" si="241"/>
        <v>#DIV/0!</v>
      </c>
      <c r="H202" s="118" t="e">
        <f t="shared" si="241"/>
        <v>#DIV/0!</v>
      </c>
      <c r="I202" s="118" t="e">
        <f t="shared" si="241"/>
        <v>#DIV/0!</v>
      </c>
      <c r="J202" s="118" t="e">
        <f t="shared" si="241"/>
        <v>#DIV/0!</v>
      </c>
      <c r="K202" s="127" t="e">
        <f>K201/K200</f>
        <v>#DIV/0!</v>
      </c>
      <c r="L202" s="118" t="e">
        <f t="shared" si="241"/>
        <v>#DIV/0!</v>
      </c>
      <c r="M202" s="118" t="e">
        <f t="shared" si="241"/>
        <v>#DIV/0!</v>
      </c>
      <c r="N202" s="118" t="e">
        <f t="shared" si="241"/>
        <v>#DIV/0!</v>
      </c>
      <c r="O202" s="119" t="e">
        <f t="shared" si="241"/>
        <v>#DIV/0!</v>
      </c>
    </row>
    <row r="203" spans="1:16" x14ac:dyDescent="0.25">
      <c r="A203" s="461"/>
      <c r="B203" s="417" t="s">
        <v>58</v>
      </c>
      <c r="C203" s="373" t="s">
        <v>56</v>
      </c>
      <c r="D203" s="128">
        <f>+PIGOO!B193</f>
        <v>0</v>
      </c>
      <c r="E203" s="128">
        <f>+PIGOO!C193</f>
        <v>0</v>
      </c>
      <c r="F203" s="128">
        <f>+PIGOO!D193</f>
        <v>0</v>
      </c>
      <c r="G203" s="128">
        <f>+PIGOO!E193</f>
        <v>0</v>
      </c>
      <c r="H203" s="128">
        <f>+PIGOO!F193</f>
        <v>0</v>
      </c>
      <c r="I203" s="128">
        <f>+PIGOO!G193</f>
        <v>0</v>
      </c>
      <c r="J203" s="128">
        <f>+PIGOO!H193</f>
        <v>0</v>
      </c>
      <c r="K203" s="128">
        <f>+PIGOO!I193</f>
        <v>0</v>
      </c>
      <c r="L203" s="128">
        <f>+PIGOO!J193</f>
        <v>0</v>
      </c>
      <c r="M203" s="128">
        <f>+PIGOO!K193</f>
        <v>0</v>
      </c>
      <c r="N203" s="128">
        <f>+PIGOO!L193</f>
        <v>0</v>
      </c>
      <c r="O203" s="128">
        <f>+PIGOO!M193</f>
        <v>0</v>
      </c>
      <c r="P203" s="359">
        <v>20</v>
      </c>
    </row>
    <row r="204" spans="1:16" x14ac:dyDescent="0.25">
      <c r="A204" s="461"/>
      <c r="B204" s="418"/>
      <c r="C204" s="374" t="s">
        <v>107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129">
        <v>0</v>
      </c>
      <c r="L204" s="7">
        <v>0</v>
      </c>
      <c r="M204" s="7">
        <v>0</v>
      </c>
      <c r="N204" s="7">
        <v>0</v>
      </c>
      <c r="O204" s="7">
        <v>0</v>
      </c>
    </row>
    <row r="205" spans="1:16" ht="18.75" x14ac:dyDescent="0.25">
      <c r="A205" s="461"/>
      <c r="B205" s="418"/>
      <c r="C205" s="130" t="s">
        <v>53</v>
      </c>
      <c r="D205" s="29">
        <f>D204-D203</f>
        <v>0</v>
      </c>
      <c r="E205" s="29">
        <f t="shared" ref="E205:J205" si="242">E204-E203</f>
        <v>0</v>
      </c>
      <c r="F205" s="29">
        <f t="shared" si="242"/>
        <v>0</v>
      </c>
      <c r="G205" s="29">
        <f t="shared" si="242"/>
        <v>0</v>
      </c>
      <c r="H205" s="29">
        <f t="shared" si="242"/>
        <v>0</v>
      </c>
      <c r="I205" s="29">
        <f t="shared" si="242"/>
        <v>0</v>
      </c>
      <c r="J205" s="74">
        <f t="shared" si="242"/>
        <v>0</v>
      </c>
      <c r="K205" s="74">
        <f>K204-K203</f>
        <v>0</v>
      </c>
      <c r="L205" s="74">
        <f t="shared" ref="L205:O205" si="243">L204-L203</f>
        <v>0</v>
      </c>
      <c r="M205" s="74">
        <f t="shared" si="243"/>
        <v>0</v>
      </c>
      <c r="N205" s="74">
        <f t="shared" si="243"/>
        <v>0</v>
      </c>
      <c r="O205" s="74">
        <f t="shared" si="243"/>
        <v>0</v>
      </c>
    </row>
    <row r="206" spans="1:16" ht="19.5" thickBot="1" x14ac:dyDescent="0.3">
      <c r="A206" s="461"/>
      <c r="B206" s="435"/>
      <c r="C206" s="131" t="s">
        <v>54</v>
      </c>
      <c r="D206" s="118" t="e">
        <f>D205/D204</f>
        <v>#DIV/0!</v>
      </c>
      <c r="E206" s="118" t="e">
        <f t="shared" ref="E206:O206" si="244">E205/E204</f>
        <v>#DIV/0!</v>
      </c>
      <c r="F206" s="118" t="e">
        <f t="shared" si="244"/>
        <v>#DIV/0!</v>
      </c>
      <c r="G206" s="118" t="e">
        <f t="shared" si="244"/>
        <v>#DIV/0!</v>
      </c>
      <c r="H206" s="118" t="e">
        <f t="shared" si="244"/>
        <v>#DIV/0!</v>
      </c>
      <c r="I206" s="118" t="e">
        <f t="shared" si="244"/>
        <v>#DIV/0!</v>
      </c>
      <c r="J206" s="118" t="e">
        <f t="shared" si="244"/>
        <v>#DIV/0!</v>
      </c>
      <c r="K206" s="118" t="e">
        <f>K205/K204</f>
        <v>#DIV/0!</v>
      </c>
      <c r="L206" s="118" t="e">
        <f t="shared" si="244"/>
        <v>#DIV/0!</v>
      </c>
      <c r="M206" s="118" t="e">
        <f t="shared" si="244"/>
        <v>#DIV/0!</v>
      </c>
      <c r="N206" s="118" t="e">
        <f t="shared" si="244"/>
        <v>#DIV/0!</v>
      </c>
      <c r="O206" s="119" t="e">
        <f t="shared" si="244"/>
        <v>#DIV/0!</v>
      </c>
    </row>
    <row r="207" spans="1:16" ht="15" customHeight="1" x14ac:dyDescent="0.25">
      <c r="B207" s="467" t="s">
        <v>108</v>
      </c>
      <c r="C207" s="468"/>
      <c r="D207" s="132">
        <f>D191+D195</f>
        <v>6</v>
      </c>
      <c r="E207" s="132">
        <f t="shared" ref="E207:I208" si="245">E191+E195</f>
        <v>6</v>
      </c>
      <c r="F207" s="132">
        <f t="shared" si="245"/>
        <v>6</v>
      </c>
      <c r="G207" s="132">
        <f t="shared" si="245"/>
        <v>6</v>
      </c>
      <c r="H207" s="132">
        <f t="shared" si="245"/>
        <v>6</v>
      </c>
      <c r="I207" s="132">
        <f t="shared" si="245"/>
        <v>6</v>
      </c>
      <c r="J207" s="132">
        <f t="shared" ref="J207:O207" si="246">J191+J195</f>
        <v>6</v>
      </c>
      <c r="K207" s="132">
        <f t="shared" si="246"/>
        <v>6</v>
      </c>
      <c r="L207" s="132">
        <f t="shared" si="246"/>
        <v>6</v>
      </c>
      <c r="M207" s="132">
        <f t="shared" si="246"/>
        <v>6</v>
      </c>
      <c r="N207" s="132">
        <f t="shared" si="246"/>
        <v>6</v>
      </c>
      <c r="O207" s="132">
        <f t="shared" si="246"/>
        <v>6</v>
      </c>
    </row>
    <row r="208" spans="1:16" ht="15" customHeight="1" x14ac:dyDescent="0.25">
      <c r="B208" s="469" t="s">
        <v>74</v>
      </c>
      <c r="C208" s="470"/>
      <c r="D208" s="133">
        <f>D192+D196</f>
        <v>6</v>
      </c>
      <c r="E208" s="133">
        <f t="shared" si="245"/>
        <v>6</v>
      </c>
      <c r="F208" s="133">
        <f t="shared" si="245"/>
        <v>6</v>
      </c>
      <c r="G208" s="133">
        <f t="shared" si="245"/>
        <v>6</v>
      </c>
      <c r="H208" s="133">
        <f t="shared" si="245"/>
        <v>6</v>
      </c>
      <c r="I208" s="133">
        <f t="shared" si="245"/>
        <v>6</v>
      </c>
      <c r="J208" s="133">
        <f t="shared" ref="J208:O208" si="247">J192+J196</f>
        <v>6</v>
      </c>
      <c r="K208" s="133">
        <f t="shared" si="247"/>
        <v>6</v>
      </c>
      <c r="L208" s="133">
        <f t="shared" si="247"/>
        <v>6</v>
      </c>
      <c r="M208" s="133">
        <f t="shared" si="247"/>
        <v>6</v>
      </c>
      <c r="N208" s="133">
        <f t="shared" si="247"/>
        <v>6</v>
      </c>
      <c r="O208" s="133">
        <f t="shared" si="247"/>
        <v>6</v>
      </c>
    </row>
    <row r="209" spans="1:16" ht="15" customHeight="1" x14ac:dyDescent="0.25">
      <c r="B209" s="471" t="s">
        <v>109</v>
      </c>
      <c r="C209" s="472"/>
      <c r="D209" s="134">
        <f>D199+D203</f>
        <v>0</v>
      </c>
      <c r="E209" s="134">
        <f t="shared" ref="E209:I210" si="248">E199+E203</f>
        <v>0</v>
      </c>
      <c r="F209" s="134">
        <f t="shared" si="248"/>
        <v>0</v>
      </c>
      <c r="G209" s="134">
        <f t="shared" si="248"/>
        <v>0</v>
      </c>
      <c r="H209" s="134">
        <f t="shared" si="248"/>
        <v>0</v>
      </c>
      <c r="I209" s="134">
        <f t="shared" si="248"/>
        <v>0</v>
      </c>
      <c r="J209" s="134">
        <f t="shared" ref="J209:O209" si="249">J199+J203</f>
        <v>0</v>
      </c>
      <c r="K209" s="134">
        <f t="shared" si="249"/>
        <v>0</v>
      </c>
      <c r="L209" s="134">
        <f t="shared" si="249"/>
        <v>0</v>
      </c>
      <c r="M209" s="134">
        <f t="shared" si="249"/>
        <v>0</v>
      </c>
      <c r="N209" s="134">
        <f t="shared" si="249"/>
        <v>0</v>
      </c>
      <c r="O209" s="134">
        <f t="shared" si="249"/>
        <v>0</v>
      </c>
    </row>
    <row r="210" spans="1:16" ht="15" customHeight="1" x14ac:dyDescent="0.25">
      <c r="B210" s="469" t="s">
        <v>75</v>
      </c>
      <c r="C210" s="470"/>
      <c r="D210" s="135">
        <f>D200+D204</f>
        <v>0</v>
      </c>
      <c r="E210" s="135">
        <f t="shared" si="248"/>
        <v>0</v>
      </c>
      <c r="F210" s="135">
        <f t="shared" si="248"/>
        <v>0</v>
      </c>
      <c r="G210" s="135">
        <f t="shared" si="248"/>
        <v>0</v>
      </c>
      <c r="H210" s="135">
        <f t="shared" si="248"/>
        <v>0</v>
      </c>
      <c r="I210" s="135">
        <f t="shared" si="248"/>
        <v>0</v>
      </c>
      <c r="J210" s="135">
        <f t="shared" ref="J210:O210" si="250">J200+J204</f>
        <v>0</v>
      </c>
      <c r="K210" s="135">
        <f t="shared" si="250"/>
        <v>0</v>
      </c>
      <c r="L210" s="135">
        <f t="shared" si="250"/>
        <v>0</v>
      </c>
      <c r="M210" s="135">
        <f t="shared" si="250"/>
        <v>0</v>
      </c>
      <c r="N210" s="135">
        <f t="shared" si="250"/>
        <v>0</v>
      </c>
      <c r="O210" s="135">
        <f t="shared" si="250"/>
        <v>0</v>
      </c>
    </row>
    <row r="211" spans="1:16" ht="17.25" customHeight="1" x14ac:dyDescent="0.25">
      <c r="B211" s="473" t="s">
        <v>76</v>
      </c>
      <c r="C211" s="474"/>
      <c r="D211" s="136">
        <f>D207+D209</f>
        <v>6</v>
      </c>
      <c r="E211" s="136">
        <f t="shared" ref="E211:I212" si="251">E207+E209</f>
        <v>6</v>
      </c>
      <c r="F211" s="136">
        <f t="shared" si="251"/>
        <v>6</v>
      </c>
      <c r="G211" s="136">
        <f t="shared" si="251"/>
        <v>6</v>
      </c>
      <c r="H211" s="136">
        <f t="shared" si="251"/>
        <v>6</v>
      </c>
      <c r="I211" s="136">
        <f t="shared" si="251"/>
        <v>6</v>
      </c>
      <c r="J211" s="136">
        <f t="shared" ref="J211:O211" si="252">J207+J209</f>
        <v>6</v>
      </c>
      <c r="K211" s="136">
        <f t="shared" si="252"/>
        <v>6</v>
      </c>
      <c r="L211" s="136">
        <f t="shared" si="252"/>
        <v>6</v>
      </c>
      <c r="M211" s="136">
        <f t="shared" si="252"/>
        <v>6</v>
      </c>
      <c r="N211" s="136">
        <f t="shared" si="252"/>
        <v>6</v>
      </c>
      <c r="O211" s="136">
        <f t="shared" si="252"/>
        <v>6</v>
      </c>
    </row>
    <row r="212" spans="1:16" ht="18" customHeight="1" thickBot="1" x14ac:dyDescent="0.3">
      <c r="B212" s="475" t="s">
        <v>77</v>
      </c>
      <c r="C212" s="476"/>
      <c r="D212" s="137">
        <f>D208+D210</f>
        <v>6</v>
      </c>
      <c r="E212" s="137">
        <f t="shared" si="251"/>
        <v>6</v>
      </c>
      <c r="F212" s="137">
        <f t="shared" si="251"/>
        <v>6</v>
      </c>
      <c r="G212" s="137">
        <f t="shared" si="251"/>
        <v>6</v>
      </c>
      <c r="H212" s="137">
        <f t="shared" si="251"/>
        <v>6</v>
      </c>
      <c r="I212" s="137">
        <f t="shared" si="251"/>
        <v>6</v>
      </c>
      <c r="J212" s="137">
        <f t="shared" ref="J212:O212" si="253">J208+J210</f>
        <v>6</v>
      </c>
      <c r="K212" s="137">
        <f t="shared" si="253"/>
        <v>6</v>
      </c>
      <c r="L212" s="137">
        <f t="shared" si="253"/>
        <v>6</v>
      </c>
      <c r="M212" s="137">
        <f t="shared" si="253"/>
        <v>6</v>
      </c>
      <c r="N212" s="137">
        <f t="shared" si="253"/>
        <v>6</v>
      </c>
      <c r="O212" s="137">
        <f t="shared" si="253"/>
        <v>6</v>
      </c>
    </row>
    <row r="213" spans="1:16" ht="18.75" x14ac:dyDescent="0.25">
      <c r="B213" s="462" t="s">
        <v>59</v>
      </c>
      <c r="C213" s="138" t="s">
        <v>60</v>
      </c>
      <c r="D213" s="155">
        <f t="shared" ref="D213:O213" si="254">D211/(D171/1000)</f>
        <v>3.0410542321338063</v>
      </c>
      <c r="E213" s="155">
        <f t="shared" si="254"/>
        <v>3.0364372469635628</v>
      </c>
      <c r="F213" s="155">
        <f t="shared" si="254"/>
        <v>3.0410542321338063</v>
      </c>
      <c r="G213" s="155">
        <f t="shared" si="254"/>
        <v>3.0379746835443036</v>
      </c>
      <c r="H213" s="155">
        <f t="shared" si="254"/>
        <v>3.02571860816944</v>
      </c>
      <c r="I213" s="155">
        <f t="shared" si="254"/>
        <v>3.024193548387097</v>
      </c>
      <c r="J213" s="155">
        <f t="shared" si="254"/>
        <v>3.00450676014021</v>
      </c>
      <c r="K213" s="139">
        <f t="shared" si="254"/>
        <v>2.9865604778496766</v>
      </c>
      <c r="L213" s="139">
        <f t="shared" si="254"/>
        <v>2.9688273132112815</v>
      </c>
      <c r="M213" s="139">
        <f t="shared" si="254"/>
        <v>2.9688273132112815</v>
      </c>
      <c r="N213" s="139">
        <f t="shared" si="254"/>
        <v>2.9615004935834159</v>
      </c>
      <c r="O213" s="139">
        <f t="shared" si="254"/>
        <v>2.954209748892171</v>
      </c>
    </row>
    <row r="214" spans="1:16" ht="19.5" thickBot="1" x14ac:dyDescent="0.3">
      <c r="B214" s="463"/>
      <c r="C214" s="140" t="s">
        <v>61</v>
      </c>
      <c r="D214" s="156">
        <f t="shared" ref="D214:O214" si="255">D207/(D171/1000)</f>
        <v>3.0410542321338063</v>
      </c>
      <c r="E214" s="156">
        <f t="shared" si="255"/>
        <v>3.0364372469635628</v>
      </c>
      <c r="F214" s="156">
        <f t="shared" si="255"/>
        <v>3.0410542321338063</v>
      </c>
      <c r="G214" s="156">
        <f t="shared" si="255"/>
        <v>3.0379746835443036</v>
      </c>
      <c r="H214" s="156">
        <f t="shared" si="255"/>
        <v>3.02571860816944</v>
      </c>
      <c r="I214" s="156">
        <f t="shared" si="255"/>
        <v>3.024193548387097</v>
      </c>
      <c r="J214" s="156">
        <f t="shared" si="255"/>
        <v>3.00450676014021</v>
      </c>
      <c r="K214" s="141">
        <f t="shared" si="255"/>
        <v>2.9865604778496766</v>
      </c>
      <c r="L214" s="141">
        <f t="shared" si="255"/>
        <v>2.9688273132112815</v>
      </c>
      <c r="M214" s="141">
        <f t="shared" si="255"/>
        <v>2.9688273132112815</v>
      </c>
      <c r="N214" s="141">
        <f t="shared" si="255"/>
        <v>2.9615004935834159</v>
      </c>
      <c r="O214" s="141">
        <f t="shared" si="255"/>
        <v>2.954209748892171</v>
      </c>
    </row>
    <row r="215" spans="1:16" x14ac:dyDescent="0.25">
      <c r="B215" s="426" t="s">
        <v>66</v>
      </c>
      <c r="C215" s="375" t="s">
        <v>73</v>
      </c>
      <c r="D215" s="10">
        <f>+PIGOO!B34</f>
        <v>0</v>
      </c>
      <c r="E215" s="10">
        <f>+PIGOO!C34</f>
        <v>0</v>
      </c>
      <c r="F215" s="10">
        <f>+PIGOO!D34</f>
        <v>0</v>
      </c>
      <c r="G215" s="10">
        <f>+PIGOO!E34</f>
        <v>0</v>
      </c>
      <c r="H215" s="10">
        <f>+PIGOO!F34</f>
        <v>0</v>
      </c>
      <c r="I215" s="10">
        <f>+PIGOO!G34</f>
        <v>0</v>
      </c>
      <c r="J215" s="10">
        <f>+PIGOO!H34</f>
        <v>0</v>
      </c>
      <c r="K215" s="10">
        <f>+PIGOO!I34</f>
        <v>0</v>
      </c>
      <c r="L215" s="10">
        <f>+PIGOO!J34</f>
        <v>0</v>
      </c>
      <c r="M215" s="10">
        <f>+PIGOO!K34</f>
        <v>0</v>
      </c>
      <c r="N215" s="10">
        <f>+PIGOO!L34</f>
        <v>0</v>
      </c>
      <c r="O215" s="10">
        <f>+PIGOO!M34</f>
        <v>0</v>
      </c>
      <c r="P215" s="359">
        <v>21</v>
      </c>
    </row>
    <row r="216" spans="1:16" ht="15.75" thickBot="1" x14ac:dyDescent="0.3">
      <c r="B216" s="426"/>
      <c r="C216" s="142" t="s">
        <v>62</v>
      </c>
      <c r="D216" s="7">
        <f>D215</f>
        <v>0</v>
      </c>
      <c r="E216" s="7">
        <f>D216+E215</f>
        <v>0</v>
      </c>
      <c r="F216" s="7">
        <f t="shared" ref="F216:O216" si="256">E216+F215</f>
        <v>0</v>
      </c>
      <c r="G216" s="7">
        <f t="shared" si="256"/>
        <v>0</v>
      </c>
      <c r="H216" s="7">
        <f t="shared" si="256"/>
        <v>0</v>
      </c>
      <c r="I216" s="7">
        <f t="shared" si="256"/>
        <v>0</v>
      </c>
      <c r="J216" s="7">
        <f t="shared" si="256"/>
        <v>0</v>
      </c>
      <c r="K216" s="7">
        <f t="shared" si="256"/>
        <v>0</v>
      </c>
      <c r="L216" s="7">
        <f t="shared" si="256"/>
        <v>0</v>
      </c>
      <c r="M216" s="7">
        <f t="shared" si="256"/>
        <v>0</v>
      </c>
      <c r="N216" s="7">
        <f t="shared" si="256"/>
        <v>0</v>
      </c>
      <c r="O216" s="7">
        <f t="shared" si="256"/>
        <v>0</v>
      </c>
    </row>
    <row r="217" spans="1:16" x14ac:dyDescent="0.25">
      <c r="A217" s="464" t="s">
        <v>63</v>
      </c>
      <c r="B217" s="452" t="s">
        <v>67</v>
      </c>
      <c r="C217" s="176" t="s">
        <v>64</v>
      </c>
      <c r="D217" s="18">
        <v>6478</v>
      </c>
      <c r="E217" s="19">
        <v>6478</v>
      </c>
      <c r="F217" s="19">
        <v>6478</v>
      </c>
      <c r="G217" s="19">
        <v>6478</v>
      </c>
      <c r="H217" s="19">
        <v>6478</v>
      </c>
      <c r="I217" s="19">
        <v>6478</v>
      </c>
      <c r="J217" s="19">
        <v>6478</v>
      </c>
      <c r="K217" s="19">
        <v>6478</v>
      </c>
      <c r="L217" s="19">
        <v>6478</v>
      </c>
      <c r="M217" s="19">
        <v>6478</v>
      </c>
      <c r="N217" s="19">
        <v>6478</v>
      </c>
      <c r="O217" s="19">
        <v>0</v>
      </c>
    </row>
    <row r="218" spans="1:16" x14ac:dyDescent="0.25">
      <c r="A218" s="465"/>
      <c r="B218" s="444"/>
      <c r="C218" s="177" t="s">
        <v>65</v>
      </c>
      <c r="D218" s="39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40">
        <v>0</v>
      </c>
    </row>
    <row r="219" spans="1:16" ht="15.75" thickBot="1" x14ac:dyDescent="0.3">
      <c r="A219" s="466"/>
      <c r="B219" s="445"/>
      <c r="C219" s="178" t="s">
        <v>68</v>
      </c>
      <c r="D219" s="143">
        <v>0</v>
      </c>
      <c r="E219" s="144">
        <v>0</v>
      </c>
      <c r="F219" s="144">
        <v>0</v>
      </c>
      <c r="G219" s="144">
        <v>0</v>
      </c>
      <c r="H219" s="144">
        <v>0</v>
      </c>
      <c r="I219" s="144">
        <v>0</v>
      </c>
      <c r="J219" s="144">
        <v>0</v>
      </c>
      <c r="K219" s="144">
        <v>0</v>
      </c>
      <c r="L219" s="144">
        <v>0</v>
      </c>
      <c r="M219" s="144">
        <v>0</v>
      </c>
      <c r="N219" s="144"/>
      <c r="O219" s="144">
        <v>0</v>
      </c>
    </row>
    <row r="220" spans="1:16" x14ac:dyDescent="0.25">
      <c r="B220" s="145"/>
    </row>
    <row r="221" spans="1:16" x14ac:dyDescent="0.25">
      <c r="B221" s="145"/>
    </row>
    <row r="222" spans="1:16" x14ac:dyDescent="0.25">
      <c r="B222" s="1"/>
    </row>
    <row r="223" spans="1:16" x14ac:dyDescent="0.25">
      <c r="B223" s="1"/>
    </row>
    <row r="224" spans="1:16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</sheetData>
  <mergeCells count="79"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A19:A20"/>
    <mergeCell ref="B19:B24"/>
    <mergeCell ref="B95:B96"/>
    <mergeCell ref="B40:B45"/>
    <mergeCell ref="B73:B78"/>
    <mergeCell ref="B52:B54"/>
    <mergeCell ref="B34:B39"/>
    <mergeCell ref="A61:A62"/>
    <mergeCell ref="B61:B66"/>
    <mergeCell ref="A25:A26"/>
    <mergeCell ref="B25:B30"/>
    <mergeCell ref="B31:B33"/>
    <mergeCell ref="A55:A56"/>
    <mergeCell ref="B55:B60"/>
    <mergeCell ref="B213:B214"/>
    <mergeCell ref="B215:B216"/>
    <mergeCell ref="A217:A219"/>
    <mergeCell ref="B217:B219"/>
    <mergeCell ref="B207:C207"/>
    <mergeCell ref="B208:C208"/>
    <mergeCell ref="B209:C209"/>
    <mergeCell ref="B210:C210"/>
    <mergeCell ref="B211:C211"/>
    <mergeCell ref="B212:C212"/>
    <mergeCell ref="A159:A161"/>
    <mergeCell ref="A191:A206"/>
    <mergeCell ref="B191:B194"/>
    <mergeCell ref="B195:B198"/>
    <mergeCell ref="B199:B202"/>
    <mergeCell ref="B203:B206"/>
    <mergeCell ref="A115:A116"/>
    <mergeCell ref="B115:B120"/>
    <mergeCell ref="B97:B98"/>
    <mergeCell ref="B99:B108"/>
    <mergeCell ref="A162:A190"/>
    <mergeCell ref="A127:A128"/>
    <mergeCell ref="B127:B132"/>
    <mergeCell ref="A133:A134"/>
    <mergeCell ref="B133:B138"/>
    <mergeCell ref="A139:A140"/>
    <mergeCell ref="B139:B144"/>
    <mergeCell ref="A145:A146"/>
    <mergeCell ref="B145:B150"/>
    <mergeCell ref="B151:B153"/>
    <mergeCell ref="A154:A155"/>
    <mergeCell ref="B154:B161"/>
    <mergeCell ref="B85:B87"/>
    <mergeCell ref="B88:B90"/>
    <mergeCell ref="B91:B93"/>
    <mergeCell ref="A109:A110"/>
    <mergeCell ref="B109:B114"/>
    <mergeCell ref="A46:A47"/>
    <mergeCell ref="B46:B51"/>
    <mergeCell ref="A34:A35"/>
    <mergeCell ref="B162:B184"/>
    <mergeCell ref="A1:O4"/>
    <mergeCell ref="B6:C6"/>
    <mergeCell ref="A7:A8"/>
    <mergeCell ref="B7:B12"/>
    <mergeCell ref="A13:A14"/>
    <mergeCell ref="B13:B18"/>
    <mergeCell ref="A121:A122"/>
    <mergeCell ref="B121:B126"/>
    <mergeCell ref="A67:A68"/>
    <mergeCell ref="B67:B72"/>
    <mergeCell ref="A79:A80"/>
    <mergeCell ref="B79:B84"/>
  </mergeCells>
  <phoneticPr fontId="49" type="noConversion"/>
  <pageMargins left="0.31496062992125984" right="0.31496062992125984" top="0.35433070866141736" bottom="0.35433070866141736" header="0.31496062992125984" footer="0.31496062992125984"/>
  <pageSetup scale="5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E452D-4885-41A1-A23B-74B5994319BF}">
  <dimension ref="A2:Q203"/>
  <sheetViews>
    <sheetView showGridLines="0" topLeftCell="A13" workbookViewId="0">
      <selection activeCell="O12" sqref="O12"/>
    </sheetView>
  </sheetViews>
  <sheetFormatPr baseColWidth="10" defaultRowHeight="15" x14ac:dyDescent="0.25"/>
  <cols>
    <col min="2" max="13" width="12.7109375" customWidth="1"/>
  </cols>
  <sheetData>
    <row r="2" spans="1:14" ht="18.75" x14ac:dyDescent="0.3">
      <c r="A2" s="399" t="s">
        <v>298</v>
      </c>
      <c r="B2" s="399"/>
      <c r="C2" s="399"/>
      <c r="D2" s="399"/>
      <c r="E2" s="399"/>
    </row>
    <row r="3" spans="1:14" x14ac:dyDescent="0.25"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</row>
    <row r="4" spans="1:14" x14ac:dyDescent="0.25">
      <c r="A4" t="s">
        <v>20</v>
      </c>
      <c r="B4" s="388">
        <f>+INDICADORES!D31</f>
        <v>0.53272493573264779</v>
      </c>
      <c r="C4" s="388">
        <f>+INDICADORES!E31</f>
        <v>0.38622108782968284</v>
      </c>
      <c r="D4" s="388">
        <f>+INDICADORES!F31</f>
        <v>0.21186575981096528</v>
      </c>
      <c r="E4" s="388">
        <f>+INDICADORES!G31</f>
        <v>0.24225431094910976</v>
      </c>
      <c r="F4" s="388">
        <f>+INDICADORES!H31</f>
        <v>0.67059983184994054</v>
      </c>
      <c r="G4" s="388" t="e">
        <f>+INDICADORES!I31</f>
        <v>#DIV/0!</v>
      </c>
      <c r="H4" s="388">
        <f>+INDICADORES!J31</f>
        <v>0.7278841935955549</v>
      </c>
      <c r="I4" s="388">
        <f>+INDICADORES!K31</f>
        <v>0.22220298991518553</v>
      </c>
      <c r="J4" s="388" t="e">
        <f>+INDICADORES!L31</f>
        <v>#DIV/0!</v>
      </c>
      <c r="K4" s="388">
        <f>+INDICADORES!M31</f>
        <v>0.26878672183992136</v>
      </c>
      <c r="L4" s="388">
        <f>+INDICADORES!N31</f>
        <v>0.77911187345149613</v>
      </c>
      <c r="M4" s="388">
        <f>+INDICADORES!O31</f>
        <v>0.38542101658676731</v>
      </c>
      <c r="N4" s="389"/>
    </row>
    <row r="5" spans="1:14" x14ac:dyDescent="0.25">
      <c r="A5" t="s">
        <v>299</v>
      </c>
      <c r="B5" s="389">
        <v>0.74</v>
      </c>
      <c r="C5" s="389">
        <v>0.74</v>
      </c>
      <c r="D5" s="389">
        <v>0.74</v>
      </c>
      <c r="E5" s="389">
        <v>0.74</v>
      </c>
      <c r="F5" s="389">
        <v>0.74</v>
      </c>
      <c r="G5" s="389">
        <v>0.74</v>
      </c>
      <c r="H5" s="389">
        <v>0.74</v>
      </c>
      <c r="I5" s="389">
        <v>0.74</v>
      </c>
      <c r="J5" s="389">
        <v>0.74</v>
      </c>
      <c r="K5" s="389">
        <v>0.74</v>
      </c>
      <c r="L5" s="389">
        <v>0.74</v>
      </c>
      <c r="M5" s="389">
        <v>0.74</v>
      </c>
    </row>
    <row r="23" spans="1:13" ht="18.75" x14ac:dyDescent="0.3">
      <c r="A23" s="399" t="s">
        <v>303</v>
      </c>
      <c r="B23" s="399"/>
      <c r="C23" s="399"/>
      <c r="D23" s="399"/>
      <c r="E23" s="399"/>
    </row>
    <row r="24" spans="1:13" x14ac:dyDescent="0.25">
      <c r="B24" t="s">
        <v>3</v>
      </c>
      <c r="C24" t="s">
        <v>4</v>
      </c>
      <c r="D24" t="s">
        <v>5</v>
      </c>
      <c r="E24" t="s">
        <v>6</v>
      </c>
      <c r="F24" t="s">
        <v>7</v>
      </c>
      <c r="G24" t="s">
        <v>8</v>
      </c>
      <c r="H24" t="s">
        <v>9</v>
      </c>
      <c r="I24" t="s">
        <v>10</v>
      </c>
      <c r="J24" t="s">
        <v>11</v>
      </c>
      <c r="K24" t="s">
        <v>12</v>
      </c>
      <c r="L24" t="s">
        <v>13</v>
      </c>
      <c r="M24" t="s">
        <v>14</v>
      </c>
    </row>
    <row r="25" spans="1:13" x14ac:dyDescent="0.25">
      <c r="A25" t="s">
        <v>24</v>
      </c>
      <c r="B25" s="388">
        <f>+INDICADORES!D52</f>
        <v>0.69941610770641316</v>
      </c>
      <c r="C25" s="388">
        <f>+INDICADORES!E52</f>
        <v>0.72551229508196724</v>
      </c>
      <c r="D25" s="388">
        <f>+INDICADORES!F52</f>
        <v>0.69771414217533279</v>
      </c>
      <c r="E25" s="388">
        <f>+INDICADORES!G52</f>
        <v>0.66501958689458684</v>
      </c>
      <c r="F25" s="388">
        <f>+INDICADORES!H52</f>
        <v>0.66045566555704471</v>
      </c>
      <c r="G25" s="388">
        <f>+INDICADORES!I52</f>
        <v>0.66449388115564156</v>
      </c>
      <c r="H25" s="388">
        <f>+INDICADORES!J52</f>
        <v>0</v>
      </c>
      <c r="I25" s="388">
        <f>+INDICADORES!K52</f>
        <v>0.5679143946537657</v>
      </c>
      <c r="J25" s="388">
        <f>+INDICADORES!L52</f>
        <v>0.76096221621178595</v>
      </c>
      <c r="K25" s="388">
        <f>+INDICADORES!M52</f>
        <v>0.55447818321000253</v>
      </c>
      <c r="L25" s="388">
        <f>+INDICADORES!N52</f>
        <v>0.73576320939334638</v>
      </c>
      <c r="M25" s="388">
        <f>+INDICADORES!O52</f>
        <v>0.72666204385888877</v>
      </c>
    </row>
    <row r="26" spans="1:13" x14ac:dyDescent="0.25">
      <c r="A26" t="s">
        <v>300</v>
      </c>
      <c r="B26" s="389">
        <v>0.98</v>
      </c>
      <c r="C26" s="389">
        <v>0.98</v>
      </c>
      <c r="D26" s="389">
        <v>0.98</v>
      </c>
      <c r="E26" s="389">
        <v>0.98</v>
      </c>
      <c r="F26" s="389">
        <v>0.98</v>
      </c>
      <c r="G26" s="389">
        <v>0.98</v>
      </c>
      <c r="H26" s="389">
        <v>0.98</v>
      </c>
      <c r="I26" s="389">
        <v>0.98</v>
      </c>
      <c r="J26" s="389">
        <v>0.98</v>
      </c>
      <c r="K26" s="389">
        <v>0.98</v>
      </c>
      <c r="L26" s="389">
        <v>0.98</v>
      </c>
      <c r="M26" s="389">
        <v>0.98</v>
      </c>
    </row>
    <row r="45" spans="1:13" ht="18.75" x14ac:dyDescent="0.3">
      <c r="A45" s="399" t="s">
        <v>302</v>
      </c>
      <c r="B45" s="399"/>
      <c r="C45" s="399"/>
      <c r="D45" s="399"/>
      <c r="E45" s="399"/>
    </row>
    <row r="46" spans="1:13" x14ac:dyDescent="0.25">
      <c r="B46" t="s">
        <v>3</v>
      </c>
      <c r="C46" t="s">
        <v>4</v>
      </c>
      <c r="D46" t="s">
        <v>5</v>
      </c>
      <c r="E46" t="s">
        <v>6</v>
      </c>
      <c r="F46" t="s">
        <v>7</v>
      </c>
      <c r="G46" t="s">
        <v>8</v>
      </c>
      <c r="H46" t="s">
        <v>9</v>
      </c>
      <c r="I46" t="s">
        <v>10</v>
      </c>
      <c r="J46" t="s">
        <v>11</v>
      </c>
      <c r="K46" t="s">
        <v>12</v>
      </c>
      <c r="L46" t="s">
        <v>13</v>
      </c>
      <c r="M46" t="s">
        <v>14</v>
      </c>
    </row>
    <row r="47" spans="1:13" x14ac:dyDescent="0.25">
      <c r="A47" t="s">
        <v>301</v>
      </c>
      <c r="B47" s="388">
        <f>+INDICADORES!D91</f>
        <v>112.69446874350766</v>
      </c>
      <c r="C47" s="388">
        <f>+INDICADORES!E91</f>
        <v>103.39103891392999</v>
      </c>
      <c r="D47" s="388">
        <f>+INDICADORES!F91</f>
        <v>114.55274122350329</v>
      </c>
      <c r="E47" s="388">
        <f>+INDICADORES!G91</f>
        <v>106.47207824076966</v>
      </c>
      <c r="F47" s="388">
        <f>+INDICADORES!H91</f>
        <v>108.76716438461185</v>
      </c>
      <c r="G47" s="388">
        <f>+INDICADORES!I91</f>
        <v>121.14451209511667</v>
      </c>
      <c r="H47" s="388">
        <f>+INDICADORES!J91</f>
        <v>125.37122933354102</v>
      </c>
      <c r="I47" s="388">
        <f>+INDICADORES!K91</f>
        <v>124.20723626206072</v>
      </c>
      <c r="J47" s="388">
        <f>+INDICADORES!L91</f>
        <v>113.0456243015297</v>
      </c>
      <c r="K47" s="388">
        <f>+INDICADORES!M91</f>
        <v>120.92229844222443</v>
      </c>
      <c r="L47" s="388">
        <f>+INDICADORES!N91</f>
        <v>120.31854085465919</v>
      </c>
      <c r="M47" s="388">
        <f>+INDICADORES!O91</f>
        <v>114.5643069492673</v>
      </c>
    </row>
    <row r="48" spans="1:13" x14ac:dyDescent="0.25">
      <c r="A48" t="s">
        <v>300</v>
      </c>
      <c r="B48" s="389">
        <v>0.97</v>
      </c>
      <c r="C48" s="389">
        <v>0.97</v>
      </c>
      <c r="D48" s="389">
        <v>0.97</v>
      </c>
      <c r="E48" s="389">
        <v>0.97</v>
      </c>
      <c r="F48" s="389">
        <v>0.97</v>
      </c>
      <c r="G48" s="389">
        <v>0.97</v>
      </c>
      <c r="H48" s="389">
        <v>0.97</v>
      </c>
      <c r="I48" s="389">
        <v>0.97</v>
      </c>
      <c r="J48" s="389">
        <v>0.97</v>
      </c>
      <c r="K48" s="389">
        <v>0.97</v>
      </c>
      <c r="L48" s="389">
        <v>0.97</v>
      </c>
      <c r="M48" s="389">
        <v>0.97</v>
      </c>
    </row>
    <row r="67" spans="1:13" ht="18.75" x14ac:dyDescent="0.3">
      <c r="A67" s="399" t="s">
        <v>304</v>
      </c>
      <c r="B67" s="399"/>
      <c r="C67" s="399"/>
      <c r="D67" s="399"/>
      <c r="E67" s="399"/>
    </row>
    <row r="68" spans="1:13" x14ac:dyDescent="0.25">
      <c r="B68" t="s">
        <v>3</v>
      </c>
      <c r="C68" t="s">
        <v>4</v>
      </c>
      <c r="D68" t="s">
        <v>5</v>
      </c>
      <c r="E68" t="s">
        <v>6</v>
      </c>
      <c r="F68" t="s">
        <v>7</v>
      </c>
      <c r="G68" t="s">
        <v>8</v>
      </c>
      <c r="H68" t="s">
        <v>9</v>
      </c>
      <c r="I68" t="s">
        <v>10</v>
      </c>
      <c r="J68" t="s">
        <v>11</v>
      </c>
      <c r="K68" t="s">
        <v>12</v>
      </c>
      <c r="L68" t="s">
        <v>13</v>
      </c>
      <c r="M68" t="s">
        <v>14</v>
      </c>
    </row>
    <row r="69" spans="1:13" x14ac:dyDescent="0.25">
      <c r="A69" t="s">
        <v>305</v>
      </c>
      <c r="B69" s="390">
        <f>+INDICADORES!D95</f>
        <v>435.09189498738345</v>
      </c>
      <c r="C69" s="390">
        <f>+INDICADORES!E95</f>
        <v>565.29510191664133</v>
      </c>
      <c r="D69" s="390">
        <f>+INDICADORES!F95</f>
        <v>1050.8308130066753</v>
      </c>
      <c r="E69" s="390">
        <f>+INDICADORES!G95</f>
        <v>1037.162887667997</v>
      </c>
      <c r="F69" s="390">
        <f>+INDICADORES!H95</f>
        <v>385.80012169151206</v>
      </c>
      <c r="G69" s="390">
        <f>+INDICADORES!I95</f>
        <v>0</v>
      </c>
      <c r="H69" s="390">
        <f>+INDICADORES!J95</f>
        <v>382.4670269689866</v>
      </c>
      <c r="I69" s="390">
        <f>+INDICADORES!K95</f>
        <v>1227.7532704593855</v>
      </c>
      <c r="J69" s="390">
        <f>+INDICADORES!L95</f>
        <v>0</v>
      </c>
      <c r="K69" s="390">
        <f>+INDICADORES!M95</f>
        <v>978.47581381198665</v>
      </c>
      <c r="L69" s="390">
        <f>+INDICADORES!N95</f>
        <v>293.43536928005153</v>
      </c>
      <c r="M69" s="390">
        <f>+INDICADORES!O95</f>
        <v>669.60530789742131</v>
      </c>
    </row>
    <row r="70" spans="1:13" x14ac:dyDescent="0.25">
      <c r="A70" t="s">
        <v>306</v>
      </c>
      <c r="B70" s="390">
        <f>+INDICADORES!D97</f>
        <v>231.78430179494981</v>
      </c>
      <c r="C70" s="390">
        <f>+INDICADORES!E97</f>
        <v>218.32888920703664</v>
      </c>
      <c r="D70" s="390">
        <f>+INDICADORES!F97</f>
        <v>222.63506863043364</v>
      </c>
      <c r="E70" s="390">
        <f>+INDICADORES!G97</f>
        <v>251.25718069399954</v>
      </c>
      <c r="F70" s="390">
        <f>+INDICADORES!H97</f>
        <v>258.71749673401456</v>
      </c>
      <c r="G70" s="390">
        <f>+INDICADORES!I97</f>
        <v>265.96530002326455</v>
      </c>
      <c r="H70" s="390">
        <f>+INDICADORES!J97</f>
        <v>278.39170350221013</v>
      </c>
      <c r="I70" s="390">
        <f>+INDICADORES!K97</f>
        <v>272.81044757422291</v>
      </c>
      <c r="J70" s="390">
        <f>+INDICADORES!L97</f>
        <v>272.93348127203421</v>
      </c>
      <c r="K70" s="390">
        <f>+INDICADORES!M97</f>
        <v>263.00130639417313</v>
      </c>
      <c r="L70" s="390">
        <f>+INDICADORES!N97</f>
        <v>228.61898029671255</v>
      </c>
      <c r="M70" s="390">
        <f>+INDICADORES!O97</f>
        <v>258.07995848171947</v>
      </c>
    </row>
    <row r="92" spans="1:13" ht="18.75" x14ac:dyDescent="0.3">
      <c r="A92" s="399" t="s">
        <v>307</v>
      </c>
      <c r="B92" s="399"/>
      <c r="C92" s="399"/>
      <c r="D92" s="399"/>
      <c r="E92" s="399"/>
      <c r="L92" t="s">
        <v>319</v>
      </c>
    </row>
    <row r="93" spans="1:13" x14ac:dyDescent="0.25">
      <c r="B93" t="s">
        <v>3</v>
      </c>
      <c r="C93" t="s">
        <v>4</v>
      </c>
      <c r="D93" t="s">
        <v>5</v>
      </c>
      <c r="E93" t="s">
        <v>6</v>
      </c>
      <c r="F93" t="s">
        <v>7</v>
      </c>
      <c r="G93" t="s">
        <v>8</v>
      </c>
      <c r="H93" t="s">
        <v>9</v>
      </c>
      <c r="I93" t="s">
        <v>10</v>
      </c>
      <c r="J93" t="s">
        <v>11</v>
      </c>
      <c r="K93" t="s">
        <v>12</v>
      </c>
      <c r="L93" t="s">
        <v>13</v>
      </c>
      <c r="M93" t="s">
        <v>14</v>
      </c>
    </row>
    <row r="94" spans="1:13" x14ac:dyDescent="0.25">
      <c r="A94">
        <v>2016</v>
      </c>
      <c r="B94" s="390">
        <f>(+INDICADORES!D108)/1000</f>
        <v>0</v>
      </c>
      <c r="C94" s="390">
        <f>(+INDICADORES!E108)/1000</f>
        <v>0</v>
      </c>
      <c r="D94" s="390">
        <f>(+INDICADORES!F108)/1000</f>
        <v>0</v>
      </c>
      <c r="E94" s="390">
        <f>(+INDICADORES!G108)/1000</f>
        <v>0</v>
      </c>
      <c r="F94" s="390">
        <f>(+INDICADORES!H108)/1000</f>
        <v>0</v>
      </c>
      <c r="G94" s="390">
        <f>(+INDICADORES!I108)/1000</f>
        <v>0</v>
      </c>
      <c r="H94" s="390">
        <f>(+INDICADORES!J108)/1000</f>
        <v>0</v>
      </c>
      <c r="I94" s="390">
        <f>(+INDICADORES!K108)/1000</f>
        <v>0</v>
      </c>
      <c r="J94" s="390">
        <f>(+INDICADORES!L108)/1000</f>
        <v>0</v>
      </c>
      <c r="K94" s="390">
        <f>(+INDICADORES!M108)/1000</f>
        <v>0</v>
      </c>
      <c r="L94" s="390">
        <f>(+INDICADORES!N108)/1000</f>
        <v>0</v>
      </c>
      <c r="M94" s="390">
        <f>(+INDICADORES!O108)/1000</f>
        <v>0</v>
      </c>
    </row>
    <row r="95" spans="1:13" x14ac:dyDescent="0.25">
      <c r="A95">
        <v>2017</v>
      </c>
      <c r="B95" s="390">
        <f>(+INDICADORES!D107)/1000</f>
        <v>0</v>
      </c>
      <c r="C95" s="390">
        <f>(+INDICADORES!E107)/1000</f>
        <v>0</v>
      </c>
      <c r="D95" s="390">
        <f>(+INDICADORES!F107)/1000</f>
        <v>0</v>
      </c>
      <c r="E95" s="390">
        <f>(+INDICADORES!G107)/1000</f>
        <v>0</v>
      </c>
      <c r="F95" s="390">
        <f>(+INDICADORES!H107)/1000</f>
        <v>0</v>
      </c>
      <c r="G95" s="390">
        <f>(+INDICADORES!I107)/1000</f>
        <v>0</v>
      </c>
      <c r="H95" s="390">
        <f>(+INDICADORES!J107)/1000</f>
        <v>0</v>
      </c>
      <c r="I95" s="390">
        <f>(+INDICADORES!K107)/1000</f>
        <v>0</v>
      </c>
      <c r="J95" s="390">
        <f>(+INDICADORES!L107)/1000</f>
        <v>0</v>
      </c>
      <c r="K95" s="390">
        <f>(+INDICADORES!M107)/1000</f>
        <v>0</v>
      </c>
      <c r="L95" s="390">
        <f>(+INDICADORES!N107)/1000</f>
        <v>0</v>
      </c>
      <c r="M95" s="390">
        <f>(+INDICADORES!O107)/1000</f>
        <v>0</v>
      </c>
    </row>
    <row r="96" spans="1:13" x14ac:dyDescent="0.25">
      <c r="A96">
        <v>2018</v>
      </c>
      <c r="B96" s="390">
        <f>(+INDICADORES!D106)/1000</f>
        <v>0</v>
      </c>
      <c r="C96" s="390">
        <f>(+INDICADORES!E106)/1000</f>
        <v>0</v>
      </c>
      <c r="D96" s="390">
        <f>(+INDICADORES!F106)/1000</f>
        <v>0</v>
      </c>
      <c r="E96" s="390">
        <f>(+INDICADORES!G106)/1000</f>
        <v>0</v>
      </c>
      <c r="F96" s="390">
        <f>(+INDICADORES!H106)/1000</f>
        <v>0</v>
      </c>
      <c r="G96" s="390">
        <f>(+INDICADORES!I106)/1000</f>
        <v>0</v>
      </c>
      <c r="H96" s="390">
        <f>(+INDICADORES!J106)/1000</f>
        <v>0</v>
      </c>
      <c r="I96" s="390">
        <f>(+INDICADORES!K106)/1000</f>
        <v>0</v>
      </c>
      <c r="J96" s="390">
        <f>(+INDICADORES!L106)/1000</f>
        <v>0</v>
      </c>
      <c r="K96" s="390">
        <f>(+INDICADORES!M106)/1000</f>
        <v>0</v>
      </c>
      <c r="L96" s="390">
        <f>(+INDICADORES!N106)/1000</f>
        <v>0</v>
      </c>
      <c r="M96" s="390">
        <f>(+INDICADORES!O106)/1000</f>
        <v>0</v>
      </c>
    </row>
    <row r="97" spans="1:17" x14ac:dyDescent="0.25">
      <c r="A97">
        <v>2019</v>
      </c>
      <c r="B97" s="390">
        <f>(+INDICADORES!D105)/1000</f>
        <v>0</v>
      </c>
      <c r="C97" s="390">
        <f>(+INDICADORES!E105)/1000</f>
        <v>0</v>
      </c>
      <c r="D97" s="390">
        <f>(+INDICADORES!F105)/1000</f>
        <v>0</v>
      </c>
      <c r="E97" s="390">
        <f>(+INDICADORES!G105)/1000</f>
        <v>0</v>
      </c>
      <c r="F97" s="390">
        <f>(+INDICADORES!H105)/1000</f>
        <v>0</v>
      </c>
      <c r="G97" s="390">
        <f>(+INDICADORES!I105)/1000</f>
        <v>0</v>
      </c>
      <c r="H97" s="390">
        <f>(+INDICADORES!J105)/1000</f>
        <v>0</v>
      </c>
      <c r="I97" s="390">
        <f>(+INDICADORES!K105)/1000</f>
        <v>0</v>
      </c>
      <c r="J97" s="390">
        <f>(+INDICADORES!L105)/1000</f>
        <v>0</v>
      </c>
      <c r="K97" s="390">
        <f>(+INDICADORES!M105)/1000</f>
        <v>0</v>
      </c>
      <c r="L97" s="390">
        <f>(+INDICADORES!N105)/1000</f>
        <v>0</v>
      </c>
      <c r="M97" s="390">
        <f>(+INDICADORES!O105)/1000</f>
        <v>0</v>
      </c>
    </row>
    <row r="98" spans="1:17" x14ac:dyDescent="0.25">
      <c r="A98">
        <v>2020</v>
      </c>
      <c r="B98" s="390">
        <f>(+INDICADORES!D104)/1000</f>
        <v>1037.0983099999999</v>
      </c>
      <c r="C98" s="390">
        <f>(+INDICADORES!E104)/1000</f>
        <v>1084.3330700000001</v>
      </c>
      <c r="D98" s="390">
        <f>(+INDICADORES!F104)/1000</f>
        <v>1639.00874</v>
      </c>
      <c r="E98" s="390">
        <f>(+INDICADORES!G104)/1000</f>
        <v>1283.8585799999998</v>
      </c>
      <c r="F98" s="390">
        <f>(+INDICADORES!H104)/1000</f>
        <v>0</v>
      </c>
      <c r="G98" s="390">
        <f>(+INDICADORES!I104)/1000</f>
        <v>0</v>
      </c>
      <c r="H98" s="390">
        <f>(+INDICADORES!J104)/1000</f>
        <v>0</v>
      </c>
      <c r="I98" s="390">
        <f>(+INDICADORES!K104)/1000</f>
        <v>0</v>
      </c>
      <c r="J98" s="390">
        <f>(+INDICADORES!L104)/1000</f>
        <v>0</v>
      </c>
      <c r="K98" s="390">
        <f>(+INDICADORES!M104)/1000</f>
        <v>0</v>
      </c>
      <c r="L98" s="390">
        <f>(+INDICADORES!N104)/1000</f>
        <v>0</v>
      </c>
      <c r="M98" s="390">
        <f>(+INDICADORES!O104)/1000</f>
        <v>0</v>
      </c>
    </row>
    <row r="99" spans="1:17" x14ac:dyDescent="0.25">
      <c r="J99" t="s">
        <v>319</v>
      </c>
    </row>
    <row r="101" spans="1:17" x14ac:dyDescent="0.25">
      <c r="Q101" s="390"/>
    </row>
    <row r="102" spans="1:17" x14ac:dyDescent="0.25">
      <c r="Q102" s="390"/>
    </row>
    <row r="103" spans="1:17" x14ac:dyDescent="0.25">
      <c r="Q103" s="390"/>
    </row>
    <row r="104" spans="1:17" x14ac:dyDescent="0.25">
      <c r="Q104" s="390"/>
    </row>
    <row r="117" spans="1:13" ht="18.75" x14ac:dyDescent="0.3">
      <c r="A117" s="399" t="s">
        <v>313</v>
      </c>
      <c r="B117" s="399"/>
      <c r="C117" s="399"/>
      <c r="D117" s="399"/>
      <c r="E117" s="399"/>
      <c r="L117" t="s">
        <v>319</v>
      </c>
    </row>
    <row r="118" spans="1:13" x14ac:dyDescent="0.25">
      <c r="B118" t="s">
        <v>3</v>
      </c>
      <c r="C118" t="s">
        <v>4</v>
      </c>
      <c r="D118" t="s">
        <v>5</v>
      </c>
      <c r="E118" t="s">
        <v>6</v>
      </c>
      <c r="F118" t="s">
        <v>7</v>
      </c>
      <c r="G118" t="s">
        <v>8</v>
      </c>
      <c r="H118" t="s">
        <v>9</v>
      </c>
      <c r="I118" t="s">
        <v>10</v>
      </c>
      <c r="J118" t="s">
        <v>11</v>
      </c>
      <c r="K118" t="s">
        <v>12</v>
      </c>
      <c r="L118" t="s">
        <v>13</v>
      </c>
      <c r="M118" t="s">
        <v>14</v>
      </c>
    </row>
    <row r="119" spans="1:13" x14ac:dyDescent="0.25">
      <c r="A119" t="s">
        <v>311</v>
      </c>
      <c r="B119" s="390">
        <f>(+INDICADORES!D171)/1000</f>
        <v>1.9730000000000001</v>
      </c>
      <c r="C119" s="390">
        <f>(+INDICADORES!E171)/1000</f>
        <v>1.976</v>
      </c>
      <c r="D119" s="390">
        <f>(+INDICADORES!F171)/1000</f>
        <v>1.9730000000000001</v>
      </c>
      <c r="E119" s="390">
        <f>(+INDICADORES!G171)/1000</f>
        <v>1.9750000000000001</v>
      </c>
      <c r="F119" s="390">
        <f>(+INDICADORES!H171)/1000</f>
        <v>1.9830000000000001</v>
      </c>
      <c r="G119" s="390">
        <f>(+INDICADORES!I171)/1000</f>
        <v>1.984</v>
      </c>
      <c r="H119" s="390">
        <f>(+INDICADORES!J171)/1000</f>
        <v>1.9970000000000001</v>
      </c>
      <c r="I119" s="390">
        <f>(+INDICADORES!K171)/1000</f>
        <v>2.0089999999999999</v>
      </c>
      <c r="J119" s="390">
        <f>(+INDICADORES!L171)/1000</f>
        <v>2.0209999999999999</v>
      </c>
      <c r="K119" s="390">
        <f>(+INDICADORES!M171)/1000</f>
        <v>2.0209999999999999</v>
      </c>
      <c r="L119" s="390">
        <f>(+INDICADORES!N171)/1000</f>
        <v>2.0259999999999998</v>
      </c>
      <c r="M119" s="390">
        <f>(+INDICADORES!O171)/1000</f>
        <v>2.0310000000000001</v>
      </c>
    </row>
    <row r="120" spans="1:13" x14ac:dyDescent="0.25">
      <c r="A120" t="s">
        <v>309</v>
      </c>
      <c r="B120" s="390">
        <f>(+INDICADORES!D172)/1000</f>
        <v>1.778</v>
      </c>
      <c r="C120" s="390">
        <f>(+INDICADORES!E172)/1000</f>
        <v>1.7809999999999999</v>
      </c>
      <c r="D120" s="390">
        <f>(+INDICADORES!F172)/1000</f>
        <v>1.784</v>
      </c>
      <c r="E120" s="390">
        <f>(+INDICADORES!G172)/1000</f>
        <v>1.7909999999999999</v>
      </c>
      <c r="F120" s="390">
        <f>(+INDICADORES!H172)/1000</f>
        <v>1.7929999999999999</v>
      </c>
      <c r="G120" s="390">
        <f>(+INDICADORES!I172)/1000</f>
        <v>1.8009999999999999</v>
      </c>
      <c r="H120" s="390">
        <f>(+INDICADORES!J172)/1000</f>
        <v>1.806</v>
      </c>
      <c r="I120" s="390">
        <f>(+INDICADORES!K172)/1000</f>
        <v>1.8109999999999999</v>
      </c>
      <c r="J120" s="390">
        <f>(+INDICADORES!L172)/1000</f>
        <v>1.8180000000000001</v>
      </c>
      <c r="K120" s="390">
        <f>(+INDICADORES!M172)/1000</f>
        <v>1.82</v>
      </c>
      <c r="L120" s="390">
        <f>(+INDICADORES!N172)/1000</f>
        <v>1.825</v>
      </c>
      <c r="M120" s="390">
        <f>(+INDICADORES!O172)/1000</f>
        <v>1.827</v>
      </c>
    </row>
    <row r="121" spans="1:13" x14ac:dyDescent="0.25">
      <c r="A121" t="s">
        <v>310</v>
      </c>
      <c r="B121" s="390">
        <f>(+INDICADORES!D169)/1000</f>
        <v>1.91</v>
      </c>
      <c r="C121" s="390">
        <f>(+INDICADORES!E169)/1000</f>
        <v>1.91</v>
      </c>
      <c r="D121" s="390">
        <f>(+INDICADORES!F169)/1000</f>
        <v>1.91</v>
      </c>
      <c r="E121" s="390">
        <f>(+INDICADORES!G169)/1000</f>
        <v>1.91</v>
      </c>
      <c r="F121" s="390">
        <f>(+INDICADORES!H169)/1000</f>
        <v>1.91</v>
      </c>
      <c r="G121" s="390">
        <f>(+INDICADORES!I169)/1000</f>
        <v>1.91</v>
      </c>
      <c r="H121" s="390">
        <f>(+INDICADORES!J169)/1000</f>
        <v>1.91</v>
      </c>
      <c r="I121" s="390">
        <f>(+INDICADORES!K169)/1000</f>
        <v>1.915</v>
      </c>
      <c r="J121" s="390">
        <f>(+INDICADORES!L169)/1000</f>
        <v>1.9159999999999999</v>
      </c>
      <c r="K121" s="390">
        <f>(+INDICADORES!M169)/1000</f>
        <v>1.92</v>
      </c>
      <c r="L121" s="390">
        <f>(+INDICADORES!N169)/1000</f>
        <v>1.9139999999999999</v>
      </c>
      <c r="M121" s="390">
        <f>(+INDICADORES!O169)/1000</f>
        <v>1.93</v>
      </c>
    </row>
    <row r="122" spans="1:13" x14ac:dyDescent="0.25">
      <c r="B122" s="390"/>
      <c r="C122" s="390"/>
      <c r="D122" s="390"/>
      <c r="E122" s="390"/>
      <c r="F122" s="390"/>
      <c r="G122" s="390"/>
      <c r="H122" s="390"/>
      <c r="I122" s="390"/>
      <c r="J122" s="390" t="s">
        <v>319</v>
      </c>
      <c r="K122" s="390"/>
      <c r="L122" s="390"/>
      <c r="M122" s="390"/>
    </row>
    <row r="123" spans="1:13" x14ac:dyDescent="0.25">
      <c r="B123" s="390"/>
      <c r="C123" s="390"/>
      <c r="D123" s="390"/>
      <c r="E123" s="390"/>
      <c r="F123" s="390"/>
      <c r="G123" s="390"/>
      <c r="H123" s="390"/>
      <c r="I123" s="390"/>
      <c r="J123" s="390"/>
      <c r="K123" s="390"/>
      <c r="L123" s="390"/>
      <c r="M123" s="390"/>
    </row>
    <row r="143" spans="1:13" ht="18.75" x14ac:dyDescent="0.3">
      <c r="A143" s="399" t="s">
        <v>312</v>
      </c>
      <c r="B143" s="399"/>
      <c r="C143" s="399"/>
      <c r="D143" s="399"/>
      <c r="E143" s="398"/>
    </row>
    <row r="144" spans="1:13" x14ac:dyDescent="0.25">
      <c r="B144" t="s">
        <v>3</v>
      </c>
      <c r="C144" t="s">
        <v>4</v>
      </c>
      <c r="D144" t="s">
        <v>5</v>
      </c>
      <c r="E144" t="s">
        <v>6</v>
      </c>
      <c r="F144" t="s">
        <v>7</v>
      </c>
      <c r="G144" t="s">
        <v>8</v>
      </c>
      <c r="H144" t="s">
        <v>9</v>
      </c>
      <c r="I144" t="s">
        <v>10</v>
      </c>
      <c r="J144" t="s">
        <v>11</v>
      </c>
      <c r="K144" t="s">
        <v>12</v>
      </c>
      <c r="L144" t="s">
        <v>13</v>
      </c>
      <c r="M144" t="s">
        <v>14</v>
      </c>
    </row>
    <row r="145" spans="1:13" x14ac:dyDescent="0.25">
      <c r="A145" t="s">
        <v>314</v>
      </c>
      <c r="B145" s="394">
        <f>+INDICADORES!D214</f>
        <v>3.0410542321338063</v>
      </c>
      <c r="C145" s="394">
        <f>+INDICADORES!E214</f>
        <v>3.0364372469635628</v>
      </c>
      <c r="D145" s="394">
        <f>+INDICADORES!F214</f>
        <v>3.0410542321338063</v>
      </c>
      <c r="E145" s="394">
        <f>+INDICADORES!G214</f>
        <v>3.0379746835443036</v>
      </c>
      <c r="F145" s="394">
        <f>+INDICADORES!H214</f>
        <v>3.02571860816944</v>
      </c>
      <c r="G145" s="394">
        <f>+INDICADORES!I214</f>
        <v>3.024193548387097</v>
      </c>
      <c r="H145" s="394">
        <f>+INDICADORES!J214</f>
        <v>3.00450676014021</v>
      </c>
      <c r="I145" s="394">
        <f>+INDICADORES!K214</f>
        <v>2.9865604778496766</v>
      </c>
      <c r="J145" s="394">
        <f>+INDICADORES!L214</f>
        <v>2.9688273132112815</v>
      </c>
      <c r="K145" s="394">
        <f>+INDICADORES!M214</f>
        <v>2.9688273132112815</v>
      </c>
      <c r="L145" s="394">
        <f>+INDICADORES!N214</f>
        <v>2.9615004935834159</v>
      </c>
      <c r="M145" s="394">
        <f>+INDICADORES!O214</f>
        <v>2.954209748892171</v>
      </c>
    </row>
    <row r="146" spans="1:13" x14ac:dyDescent="0.25">
      <c r="A146" t="s">
        <v>299</v>
      </c>
      <c r="B146">
        <v>1.68</v>
      </c>
      <c r="C146">
        <v>1.68</v>
      </c>
      <c r="D146">
        <v>1.68</v>
      </c>
      <c r="E146">
        <v>1.68</v>
      </c>
      <c r="F146">
        <v>1.68</v>
      </c>
      <c r="G146">
        <v>1.68</v>
      </c>
      <c r="H146">
        <v>1.68</v>
      </c>
      <c r="I146">
        <v>1.68</v>
      </c>
      <c r="J146">
        <v>1.68</v>
      </c>
      <c r="K146">
        <v>1.68</v>
      </c>
      <c r="L146">
        <v>1.68</v>
      </c>
      <c r="M146">
        <v>1.68</v>
      </c>
    </row>
    <row r="173" spans="1:13" ht="18.75" x14ac:dyDescent="0.3">
      <c r="A173" s="399" t="s">
        <v>315</v>
      </c>
      <c r="B173" s="399"/>
      <c r="C173" s="399"/>
      <c r="D173" s="399"/>
      <c r="E173" s="399"/>
    </row>
    <row r="174" spans="1:13" x14ac:dyDescent="0.25">
      <c r="B174" t="s">
        <v>3</v>
      </c>
      <c r="C174" t="s">
        <v>4</v>
      </c>
      <c r="D174" t="s">
        <v>5</v>
      </c>
      <c r="E174" t="s">
        <v>6</v>
      </c>
      <c r="F174" t="s">
        <v>7</v>
      </c>
      <c r="G174" t="s">
        <v>8</v>
      </c>
      <c r="H174" t="s">
        <v>9</v>
      </c>
      <c r="I174" t="s">
        <v>10</v>
      </c>
      <c r="J174" t="s">
        <v>11</v>
      </c>
      <c r="K174" t="s">
        <v>12</v>
      </c>
      <c r="L174" t="s">
        <v>13</v>
      </c>
      <c r="M174" t="s">
        <v>14</v>
      </c>
    </row>
    <row r="175" spans="1:13" ht="17.25" x14ac:dyDescent="0.25">
      <c r="A175" t="s">
        <v>316</v>
      </c>
      <c r="B175" s="393">
        <f>+INDICADORES!D157</f>
        <v>2.7977547557840619</v>
      </c>
      <c r="C175" s="393">
        <f>+INDICADORES!E157</f>
        <v>2.8297099384658</v>
      </c>
      <c r="D175" s="393">
        <f>+INDICADORES!F157</f>
        <v>1.247587146491256</v>
      </c>
      <c r="E175" s="393">
        <f>+INDICADORES!G157</f>
        <v>1.4823027316157837</v>
      </c>
      <c r="F175" s="393">
        <f>+INDICADORES!H157</f>
        <v>3.5886640767691995</v>
      </c>
      <c r="G175" s="393" t="e">
        <f>+INDICADORES!I157</f>
        <v>#DIV/0!</v>
      </c>
      <c r="H175" s="393">
        <f>+INDICADORES!J157</f>
        <v>4.1485909300511299</v>
      </c>
      <c r="I175" s="393">
        <f>+INDICADORES!K157</f>
        <v>1.3951796955424574</v>
      </c>
      <c r="J175" s="393" t="e">
        <f>+INDICADORES!L157</f>
        <v>#DIV/0!</v>
      </c>
      <c r="K175" s="393">
        <f>+INDICADORES!M157</f>
        <v>0.22477526805514278</v>
      </c>
      <c r="L175" s="393">
        <f>+INDICADORES!N157</f>
        <v>5.6998692586239761</v>
      </c>
      <c r="M175" s="393">
        <f>+INDICADORES!O157</f>
        <v>1.5844035946347739</v>
      </c>
    </row>
    <row r="176" spans="1:13" x14ac:dyDescent="0.25">
      <c r="A176" t="s">
        <v>317</v>
      </c>
      <c r="B176" s="393">
        <f>+INDICADORES!D161</f>
        <v>1.8097454146365799</v>
      </c>
      <c r="C176" s="393">
        <f>+INDICADORES!E161</f>
        <v>2.3109648385741526</v>
      </c>
      <c r="D176" s="393">
        <f>+INDICADORES!F161</f>
        <v>2.221818974504786</v>
      </c>
      <c r="E176" s="393">
        <f>+INDICADORES!G161</f>
        <v>2.0675137631238534</v>
      </c>
      <c r="F176" s="393">
        <f>+INDICADORES!H161</f>
        <v>1.5415358846311908</v>
      </c>
      <c r="G176" s="393">
        <f>+INDICADORES!I161</f>
        <v>2.8504486377485687</v>
      </c>
      <c r="H176" s="393">
        <f>+INDICADORES!J161</f>
        <v>10.289200977148965</v>
      </c>
      <c r="I176" s="393">
        <f>+INDICADORES!K161</f>
        <v>2.301066486364661</v>
      </c>
      <c r="J176" s="393">
        <f>+INDICADORES!L161</f>
        <v>16.081159862647844</v>
      </c>
      <c r="K176" s="393">
        <f>+INDICADORES!M161</f>
        <v>0.33448077021211453</v>
      </c>
      <c r="L176" s="393">
        <f>+INDICADORES!N161</f>
        <v>4.7001750746503221</v>
      </c>
      <c r="M176" s="393">
        <f>+INDICADORES!O161</f>
        <v>3.400863719479402</v>
      </c>
    </row>
    <row r="177" spans="1:13" ht="17.25" x14ac:dyDescent="0.25">
      <c r="A177" t="s">
        <v>318</v>
      </c>
      <c r="B177" s="393">
        <f>+INDICADORES!D160</f>
        <v>1.5459383033419023</v>
      </c>
      <c r="C177" s="393">
        <f>+INDICADORES!E160</f>
        <v>1.2244712213846185</v>
      </c>
      <c r="D177" s="393">
        <f>+INDICADORES!F160</f>
        <v>0.56151610946131492</v>
      </c>
      <c r="E177" s="393">
        <f>+INDICADORES!G160</f>
        <v>0.71694939015841863</v>
      </c>
      <c r="F177" s="393">
        <f>+INDICADORES!H160</f>
        <v>2.3279795900617515</v>
      </c>
      <c r="G177" s="393" t="e">
        <f>+INDICADORES!I160</f>
        <v>#DIV/0!</v>
      </c>
      <c r="H177" s="393">
        <f>+INDICADORES!J160</f>
        <v>1.7238485158648926</v>
      </c>
      <c r="I177" s="393">
        <f>+INDICADORES!K160</f>
        <v>0.60631872386557228</v>
      </c>
      <c r="J177" s="393" t="e">
        <f>+INDICADORES!L160</f>
        <v>#DIV/0!</v>
      </c>
      <c r="K177" s="393">
        <f>+INDICADORES!M160</f>
        <v>0.67201252829153424</v>
      </c>
      <c r="L177" s="393">
        <f>+INDICADORES!N160</f>
        <v>1.2126929674099485</v>
      </c>
      <c r="M177" s="393">
        <f>+INDICADORES!O160</f>
        <v>0.46588270666644394</v>
      </c>
    </row>
    <row r="199" spans="1:13" ht="21" x14ac:dyDescent="0.3">
      <c r="A199" s="399" t="s">
        <v>325</v>
      </c>
      <c r="B199" s="399"/>
      <c r="C199" s="399"/>
      <c r="D199" s="399"/>
      <c r="E199" s="399"/>
    </row>
    <row r="200" spans="1:13" x14ac:dyDescent="0.25">
      <c r="B200" t="s">
        <v>3</v>
      </c>
      <c r="C200" t="s">
        <v>4</v>
      </c>
      <c r="D200" t="s">
        <v>5</v>
      </c>
      <c r="E200" t="s">
        <v>6</v>
      </c>
      <c r="F200" t="s">
        <v>7</v>
      </c>
      <c r="G200" t="s">
        <v>8</v>
      </c>
      <c r="H200" t="s">
        <v>9</v>
      </c>
      <c r="I200" t="s">
        <v>10</v>
      </c>
      <c r="J200" t="s">
        <v>11</v>
      </c>
      <c r="K200" t="s">
        <v>12</v>
      </c>
      <c r="L200" t="s">
        <v>13</v>
      </c>
      <c r="M200" t="s">
        <v>14</v>
      </c>
    </row>
    <row r="201" spans="1:13" x14ac:dyDescent="0.25">
      <c r="A201" t="s">
        <v>321</v>
      </c>
      <c r="B201" s="397">
        <f>(+INDICADORES!D55+INDICADORES!D61)/(INDICADORES!D13+INDICADORES!D25)</f>
        <v>19.513143367273077</v>
      </c>
      <c r="C201" s="397">
        <f>(+INDICADORES!E55+INDICADORES!E61)/(INDICADORES!E13+INDICADORES!E25)</f>
        <v>20.445802766393442</v>
      </c>
      <c r="D201" s="397">
        <f>(+INDICADORES!F55+INDICADORES!F61)/(INDICADORES!F13+INDICADORES!F25)</f>
        <v>19.97490881688018</v>
      </c>
      <c r="E201" s="397">
        <f>(+INDICADORES!G55+INDICADORES!G61)/(INDICADORES!G13+INDICADORES!G25)</f>
        <v>18.901586093304843</v>
      </c>
      <c r="F201" s="397">
        <f>(+INDICADORES!H55+INDICADORES!H61)/(INDICADORES!H13+INDICADORES!H25)</f>
        <v>18.851419739743204</v>
      </c>
      <c r="G201" s="397">
        <f>(+INDICADORES!I55+INDICADORES!I61)/(INDICADORES!I13+INDICADORES!I25)</f>
        <v>18.533514445519156</v>
      </c>
      <c r="H201" s="397">
        <f>(+INDICADORES!J55+INDICADORES!J61)/(INDICADORES!J13+INDICADORES!J25)</f>
        <v>18.337683808758541</v>
      </c>
      <c r="I201" s="397">
        <f>(+INDICADORES!K55+INDICADORES!K61)/(INDICADORES!K13+INDICADORES!K25)</f>
        <v>18.884194169980731</v>
      </c>
      <c r="J201" s="397">
        <f>(+INDICADORES!L55+INDICADORES!L61)/(INDICADORES!L13+INDICADORES!L25)</f>
        <v>19.35203589869683</v>
      </c>
      <c r="K201" s="397">
        <f>(+INDICADORES!M55+INDICADORES!M61)/(INDICADORES!M13+INDICADORES!M25)</f>
        <v>19.551108275920729</v>
      </c>
      <c r="L201" s="397">
        <f>(+INDICADORES!N55+INDICADORES!N61)/(INDICADORES!N13+INDICADORES!N25)</f>
        <v>21.014419275929548</v>
      </c>
      <c r="M201" s="397">
        <f>(+INDICADORES!O55+INDICADORES!O61)/(INDICADORES!O13+INDICADORES!O25)</f>
        <v>20.477389269307448</v>
      </c>
    </row>
    <row r="202" spans="1:13" x14ac:dyDescent="0.25">
      <c r="A202" t="s">
        <v>323</v>
      </c>
      <c r="B202" s="397">
        <f>(PIGOO!B21/PIGOO!B65)</f>
        <v>6.3617077120822616</v>
      </c>
      <c r="C202" s="397">
        <f>(PIGOO!C21/PIGOO!C65)</f>
        <v>7.2135468233711242</v>
      </c>
      <c r="D202" s="397">
        <f>(PIGOO!D21/PIGOO!D65)</f>
        <v>5.1046755223467555</v>
      </c>
      <c r="E202" s="397">
        <f>(PIGOO!E21/PIGOO!E65)</f>
        <v>4.271931218928275</v>
      </c>
      <c r="F202" s="397">
        <f>(PIGOO!F21/PIGOO!F65)</f>
        <v>7.4462812744614846</v>
      </c>
      <c r="G202" s="397" t="e">
        <f>(PIGOO!G21/PIGOO!G65)</f>
        <v>#DIV/0!</v>
      </c>
      <c r="H202" s="397">
        <f>(PIGOO!H21/PIGOO!H65)</f>
        <v>24.259451089340548</v>
      </c>
      <c r="I202" s="397">
        <f>(PIGOO!I21/PIGOO!I65)</f>
        <v>3.8724895917791002</v>
      </c>
      <c r="J202" s="397" t="e">
        <f>(PIGOO!J21/PIGOO!J65)</f>
        <v>#DIV/0!</v>
      </c>
      <c r="K202" s="397">
        <f>(PIGOO!K21/PIGOO!K65)</f>
        <v>4.2785340984431084</v>
      </c>
      <c r="L202" s="397">
        <f>(PIGOO!L21/PIGOO!L65)</f>
        <v>14.086911759100438</v>
      </c>
      <c r="M202" s="397">
        <f>(PIGOO!M21/PIGOO!M65)</f>
        <v>7.2660843202432064</v>
      </c>
    </row>
    <row r="203" spans="1:13" x14ac:dyDescent="0.25">
      <c r="A203" t="s">
        <v>324</v>
      </c>
      <c r="B203" s="397">
        <f>((PIGOO!B21+PIGOO!B34)/PIGOO!B65)</f>
        <v>6.3617077120822616</v>
      </c>
      <c r="C203" s="397">
        <f>((PIGOO!C21+PIGOO!C34)/PIGOO!C65)</f>
        <v>7.2135468233711242</v>
      </c>
      <c r="D203" s="397">
        <f>((PIGOO!D21+PIGOO!D34)/PIGOO!D65)</f>
        <v>5.1046755223467555</v>
      </c>
      <c r="E203" s="397">
        <f>((PIGOO!E21+PIGOO!E34)/PIGOO!E65)</f>
        <v>4.271931218928275</v>
      </c>
      <c r="F203" s="397">
        <f>((PIGOO!F21+PIGOO!F34)/PIGOO!F65)</f>
        <v>7.4462812744614846</v>
      </c>
      <c r="G203" s="397" t="e">
        <f>((PIGOO!G21+PIGOO!G34)/PIGOO!G65)</f>
        <v>#DIV/0!</v>
      </c>
      <c r="H203" s="397">
        <f>((PIGOO!H21+PIGOO!H34)/PIGOO!H65)</f>
        <v>24.259451089340548</v>
      </c>
      <c r="I203" s="397">
        <f>((PIGOO!I21+PIGOO!I34)/PIGOO!I65)</f>
        <v>3.8724895917791002</v>
      </c>
      <c r="J203" s="397" t="e">
        <f>((PIGOO!J21+PIGOO!J34)/PIGOO!J65)</f>
        <v>#DIV/0!</v>
      </c>
      <c r="K203" s="397">
        <f>((PIGOO!K21+PIGOO!K34)/PIGOO!K65)</f>
        <v>4.2785340984431084</v>
      </c>
      <c r="L203" s="397">
        <f>((PIGOO!L21+PIGOO!L34)/PIGOO!L65)</f>
        <v>14.086911759100438</v>
      </c>
      <c r="M203" s="397">
        <f>((PIGOO!M21+PIGOO!M34)/PIGOO!M65)</f>
        <v>7.2660843202432064</v>
      </c>
    </row>
  </sheetData>
  <phoneticPr fontId="49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073AC-3517-494B-BAA1-64657DEA9262}">
  <dimension ref="A2:I5"/>
  <sheetViews>
    <sheetView workbookViewId="0">
      <selection activeCell="E15" sqref="E15"/>
    </sheetView>
  </sheetViews>
  <sheetFormatPr baseColWidth="10" defaultRowHeight="15" x14ac:dyDescent="0.25"/>
  <cols>
    <col min="1" max="1" width="11.85546875" bestFit="1" customWidth="1"/>
  </cols>
  <sheetData>
    <row r="2" spans="1:9" ht="35.25" customHeight="1" x14ac:dyDescent="0.25">
      <c r="A2" s="482" t="s">
        <v>327</v>
      </c>
      <c r="B2" s="482"/>
      <c r="C2" s="482"/>
      <c r="D2" s="482"/>
      <c r="E2" s="482"/>
      <c r="F2" s="482"/>
      <c r="G2" s="482"/>
      <c r="H2" s="482"/>
      <c r="I2" s="482"/>
    </row>
    <row r="3" spans="1:9" ht="24.75" customHeight="1" x14ac:dyDescent="0.25">
      <c r="A3" s="482" t="s">
        <v>328</v>
      </c>
      <c r="B3" s="482"/>
      <c r="C3" s="482"/>
      <c r="D3" s="482"/>
      <c r="E3" s="482"/>
      <c r="F3" s="482"/>
      <c r="G3" s="482"/>
      <c r="H3" s="482"/>
      <c r="I3" s="482"/>
    </row>
    <row r="4" spans="1:9" ht="72.75" customHeight="1" x14ac:dyDescent="0.25">
      <c r="A4" s="482" t="s">
        <v>329</v>
      </c>
      <c r="B4" s="482"/>
      <c r="C4" s="482"/>
      <c r="D4" s="482"/>
      <c r="E4" s="482"/>
      <c r="F4" s="482"/>
      <c r="G4" s="482"/>
      <c r="H4" s="482"/>
      <c r="I4" s="482"/>
    </row>
    <row r="5" spans="1:9" ht="41.25" customHeight="1" x14ac:dyDescent="0.25">
      <c r="A5" s="482" t="s">
        <v>330</v>
      </c>
      <c r="B5" s="482"/>
      <c r="C5" s="482"/>
      <c r="D5" s="482"/>
      <c r="E5" s="482"/>
      <c r="F5" s="482"/>
      <c r="G5" s="482"/>
      <c r="H5" s="482"/>
      <c r="I5" s="482"/>
    </row>
  </sheetData>
  <mergeCells count="4">
    <mergeCell ref="A2:I2"/>
    <mergeCell ref="A3:I3"/>
    <mergeCell ref="A4:I4"/>
    <mergeCell ref="A5:I5"/>
  </mergeCells>
  <pageMargins left="0.19685039370078741" right="0.19685039370078741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E9D5-463E-4447-8AC7-B4CF94EF727E}">
  <sheetPr>
    <tabColor rgb="FFFFFF00"/>
  </sheetPr>
  <dimension ref="A1:C24"/>
  <sheetViews>
    <sheetView workbookViewId="0">
      <selection activeCell="C14" sqref="C14"/>
    </sheetView>
  </sheetViews>
  <sheetFormatPr baseColWidth="10" defaultRowHeight="15" x14ac:dyDescent="0.25"/>
  <cols>
    <col min="2" max="2" width="13.140625" style="409" hidden="1" customWidth="1"/>
    <col min="3" max="3" width="11.42578125" style="409"/>
    <col min="11" max="11" width="12.7109375" bestFit="1" customWidth="1"/>
  </cols>
  <sheetData>
    <row r="1" spans="1:3" ht="18.75" x14ac:dyDescent="0.3">
      <c r="A1" s="483">
        <v>2022</v>
      </c>
      <c r="B1" s="483"/>
      <c r="C1" s="483"/>
    </row>
    <row r="2" spans="1:3" x14ac:dyDescent="0.25">
      <c r="C2" s="410" t="s">
        <v>333</v>
      </c>
    </row>
    <row r="3" spans="1:3" x14ac:dyDescent="0.25">
      <c r="A3" t="s">
        <v>3</v>
      </c>
      <c r="C3" s="409">
        <v>38900</v>
      </c>
    </row>
    <row r="4" spans="1:3" x14ac:dyDescent="0.25">
      <c r="A4" t="s">
        <v>4</v>
      </c>
      <c r="C4" s="409">
        <v>50541</v>
      </c>
    </row>
    <row r="5" spans="1:3" x14ac:dyDescent="0.25">
      <c r="A5" t="s">
        <v>5</v>
      </c>
      <c r="C5" s="409">
        <v>93951</v>
      </c>
    </row>
    <row r="6" spans="1:3" x14ac:dyDescent="0.25">
      <c r="A6" t="s">
        <v>6</v>
      </c>
      <c r="C6" s="409">
        <v>92729</v>
      </c>
    </row>
    <row r="7" spans="1:3" x14ac:dyDescent="0.25">
      <c r="A7" t="s">
        <v>7</v>
      </c>
      <c r="C7" s="409">
        <v>34493</v>
      </c>
    </row>
    <row r="8" spans="1:3" x14ac:dyDescent="0.25">
      <c r="A8" t="s">
        <v>8</v>
      </c>
      <c r="C8" s="409">
        <v>0</v>
      </c>
    </row>
    <row r="9" spans="1:3" x14ac:dyDescent="0.25">
      <c r="A9" t="s">
        <v>9</v>
      </c>
      <c r="C9" s="409">
        <v>34195</v>
      </c>
    </row>
    <row r="10" spans="1:3" x14ac:dyDescent="0.25">
      <c r="A10" t="s">
        <v>10</v>
      </c>
      <c r="C10" s="409">
        <v>109769</v>
      </c>
    </row>
    <row r="11" spans="1:3" x14ac:dyDescent="0.25">
      <c r="A11" t="s">
        <v>11</v>
      </c>
      <c r="B11" s="409">
        <v>877562</v>
      </c>
      <c r="C11" s="409">
        <v>0</v>
      </c>
    </row>
    <row r="12" spans="1:3" x14ac:dyDescent="0.25">
      <c r="A12" t="s">
        <v>12</v>
      </c>
      <c r="B12" s="409">
        <v>965044</v>
      </c>
      <c r="C12" s="409">
        <f>+B12-B11</f>
        <v>87482</v>
      </c>
    </row>
    <row r="13" spans="1:3" x14ac:dyDescent="0.25">
      <c r="A13" t="s">
        <v>13</v>
      </c>
      <c r="B13" s="409">
        <v>991279</v>
      </c>
      <c r="C13" s="409">
        <f>+B13-B12</f>
        <v>26235</v>
      </c>
    </row>
    <row r="14" spans="1:3" x14ac:dyDescent="0.25">
      <c r="A14" t="s">
        <v>14</v>
      </c>
      <c r="B14" s="409">
        <v>1051146</v>
      </c>
      <c r="C14" s="409">
        <f>+B14-B13</f>
        <v>59867</v>
      </c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PIGOO</vt:lpstr>
      <vt:lpstr>INDICADORES</vt:lpstr>
      <vt:lpstr>graficos</vt:lpstr>
      <vt:lpstr>INSTRUCTIVO</vt:lpstr>
      <vt:lpstr>MACROMEDICION</vt:lpstr>
      <vt:lpstr>PIGOO!Títulos_a_imprimir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Esparza</dc:creator>
  <cp:lastModifiedBy>DireccionFinanciera</cp:lastModifiedBy>
  <cp:lastPrinted>2023-02-01T18:38:49Z</cp:lastPrinted>
  <dcterms:created xsi:type="dcterms:W3CDTF">2018-04-02T17:47:44Z</dcterms:created>
  <dcterms:modified xsi:type="dcterms:W3CDTF">2023-02-01T18:38:53Z</dcterms:modified>
</cp:coreProperties>
</file>